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22995" windowHeight="12330" activeTab="2"/>
  </bookViews>
  <sheets>
    <sheet name="Форма 1" sheetId="1" r:id="rId1"/>
    <sheet name="Форма 2" sheetId="2" r:id="rId2"/>
    <sheet name="Отчет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<sst xmlns="http://schemas.openxmlformats.org/spreadsheetml/2006/main" count="239" uniqueCount="208">
  <si>
    <t>Наименование статьи ( доход / расход )</t>
  </si>
  <si>
    <t>На начало отчетного периода</t>
  </si>
  <si>
    <t>На конец отчетного периода</t>
  </si>
  <si>
    <t>1</t>
  </si>
  <si>
    <t>4</t>
  </si>
  <si>
    <t xml:space="preserve">Активы </t>
  </si>
  <si>
    <t>I.</t>
  </si>
  <si>
    <t>Текущие активы</t>
  </si>
  <si>
    <t>1.1.</t>
  </si>
  <si>
    <t>Денежные средства (банк, касса)</t>
  </si>
  <si>
    <t>1.2.</t>
  </si>
  <si>
    <t>Дебиторская задолженность</t>
  </si>
  <si>
    <t>1.2.1.</t>
  </si>
  <si>
    <t>покупатели, заказчики</t>
  </si>
  <si>
    <t>1.2.2.</t>
  </si>
  <si>
    <t>авансы выданные</t>
  </si>
  <si>
    <t>1.2.3.</t>
  </si>
  <si>
    <t>прочие дебиторы</t>
  </si>
  <si>
    <t>1.3.</t>
  </si>
  <si>
    <t>Запасы</t>
  </si>
  <si>
    <t>1.3.1.</t>
  </si>
  <si>
    <t>материалы (сырье)</t>
  </si>
  <si>
    <t>1.3.2.</t>
  </si>
  <si>
    <t xml:space="preserve">готовая продукция </t>
  </si>
  <si>
    <t>1.3.3.</t>
  </si>
  <si>
    <t>1.3.4.</t>
  </si>
  <si>
    <t>1.4.</t>
  </si>
  <si>
    <t>II.</t>
  </si>
  <si>
    <t>Постоянные активы</t>
  </si>
  <si>
    <t>2.1.</t>
  </si>
  <si>
    <t>Нематериальные активы</t>
  </si>
  <si>
    <t>2.2.</t>
  </si>
  <si>
    <t>Основные средства</t>
  </si>
  <si>
    <t>2.3.</t>
  </si>
  <si>
    <t>Амортизация (осн. средств и НМА)</t>
  </si>
  <si>
    <t>2.4.</t>
  </si>
  <si>
    <t>Незавершенные капитальные вложения</t>
  </si>
  <si>
    <t>2.5.</t>
  </si>
  <si>
    <t>Прочие внеоборотные активы</t>
  </si>
  <si>
    <t>Убытки отчетного года</t>
  </si>
  <si>
    <t>Пассивы</t>
  </si>
  <si>
    <t>III.</t>
  </si>
  <si>
    <t>Заемные средства</t>
  </si>
  <si>
    <t>3.1.</t>
  </si>
  <si>
    <t>Текущая задолженность</t>
  </si>
  <si>
    <t>3.1.1.</t>
  </si>
  <si>
    <t>Краткосрочные кредиты</t>
  </si>
  <si>
    <t>3.1.2.</t>
  </si>
  <si>
    <t>Кредиторская задолженность</t>
  </si>
  <si>
    <t>3.1.2.1.</t>
  </si>
  <si>
    <t>задолженность поставщикам и подрядчикам</t>
  </si>
  <si>
    <t>3.1.2.2</t>
  </si>
  <si>
    <t>задолженность перед бюджетом</t>
  </si>
  <si>
    <t>3.1.2.3.</t>
  </si>
  <si>
    <t>задолженность по зарплате</t>
  </si>
  <si>
    <t>3.1.2.4.</t>
  </si>
  <si>
    <t>авансы полученные</t>
  </si>
  <si>
    <t>3.1.2.5.</t>
  </si>
  <si>
    <t>3.1.3.</t>
  </si>
  <si>
    <t>3.2.</t>
  </si>
  <si>
    <t>Долгосрочная задолженность</t>
  </si>
  <si>
    <t>3.2.1.</t>
  </si>
  <si>
    <t>долгосрочные кредиты и займы</t>
  </si>
  <si>
    <t>3.2.2.</t>
  </si>
  <si>
    <t>прочие долгосрочные пассивы</t>
  </si>
  <si>
    <t>IV.</t>
  </si>
  <si>
    <t>Собственные средства</t>
  </si>
  <si>
    <t>4.1.</t>
  </si>
  <si>
    <t>Уставный капитал</t>
  </si>
  <si>
    <t>4.2.</t>
  </si>
  <si>
    <t>Нераспределенная прибыль/убыток</t>
  </si>
  <si>
    <t>№ п/п</t>
  </si>
  <si>
    <t>1.</t>
  </si>
  <si>
    <t xml:space="preserve">Выручка </t>
  </si>
  <si>
    <t>2.</t>
  </si>
  <si>
    <t xml:space="preserve">Себестоимость </t>
  </si>
  <si>
    <t>3.</t>
  </si>
  <si>
    <t>4.</t>
  </si>
  <si>
    <t>Коммерческие расходы</t>
  </si>
  <si>
    <t>5.</t>
  </si>
  <si>
    <t>Управленческие расходы</t>
  </si>
  <si>
    <t>6.</t>
  </si>
  <si>
    <t>7.</t>
  </si>
  <si>
    <t>Амортизация ОС и НМА</t>
  </si>
  <si>
    <t>8.</t>
  </si>
  <si>
    <t>9.</t>
  </si>
  <si>
    <t>Проценты к получению</t>
  </si>
  <si>
    <t>10.</t>
  </si>
  <si>
    <t>Проценты к уплате (кредит)</t>
  </si>
  <si>
    <t>11.</t>
  </si>
  <si>
    <t>Прочие доходы</t>
  </si>
  <si>
    <t>12.</t>
  </si>
  <si>
    <t>Прочие расходы</t>
  </si>
  <si>
    <t>13.</t>
  </si>
  <si>
    <t>Прибыль до уплаты налогов (Pretax income)</t>
  </si>
  <si>
    <t>14.</t>
  </si>
  <si>
    <t>Налог на прибыль</t>
  </si>
  <si>
    <t>15.</t>
  </si>
  <si>
    <t>Чистая прибыль (убыток) отчетного периода (Net income)</t>
  </si>
  <si>
    <t xml:space="preserve">Расшифровка прочих доходов </t>
  </si>
  <si>
    <t xml:space="preserve">Наименование статьи </t>
  </si>
  <si>
    <t>Сумма, руб.</t>
  </si>
  <si>
    <t>финансовые операции</t>
  </si>
  <si>
    <t>курсовая разница</t>
  </si>
  <si>
    <t>прочие</t>
  </si>
  <si>
    <t xml:space="preserve">Всего </t>
  </si>
  <si>
    <t>Расшифровка прочих расходов</t>
  </si>
  <si>
    <t>вознаграждение третьих лиц</t>
  </si>
  <si>
    <t>штрафы, пени</t>
  </si>
  <si>
    <t>прочее</t>
  </si>
  <si>
    <t xml:space="preserve">          Показатели</t>
  </si>
  <si>
    <t>Прошлый год</t>
  </si>
  <si>
    <t>Сегодня</t>
  </si>
  <si>
    <t>Что будет, если</t>
  </si>
  <si>
    <t>Изменить</t>
  </si>
  <si>
    <t>% изменений</t>
  </si>
  <si>
    <t>Кредиторка внешняя:</t>
  </si>
  <si>
    <t>Дебиторка внешняя:</t>
  </si>
  <si>
    <t>Краткосрочные кредиты:</t>
  </si>
  <si>
    <t>Долгосрочные кредиты:</t>
  </si>
  <si>
    <t>Полученные авансы:</t>
  </si>
  <si>
    <t>Прочие кредиторы:</t>
  </si>
  <si>
    <t>Итого заемный капитал:</t>
  </si>
  <si>
    <t>CE (Общий капитал):</t>
  </si>
  <si>
    <t>Стоимость краткосрочных в % годовых</t>
  </si>
  <si>
    <t>Стоимость долгосрочных в % годовых</t>
  </si>
  <si>
    <t>Стоимость авансов в % годовых</t>
  </si>
  <si>
    <t>Стоимость прочих кредитов в % годовых</t>
  </si>
  <si>
    <t>Фин. рычаг (рекоменд. от 0,3 до 0,5):</t>
  </si>
  <si>
    <t>EVA (эконом. добавл. стоимость):</t>
  </si>
  <si>
    <t>EP (экономическая прибыль):</t>
  </si>
  <si>
    <t>Эластичность по цене:</t>
  </si>
  <si>
    <t>Чистая выручка:</t>
  </si>
  <si>
    <t>Цена:</t>
  </si>
  <si>
    <t>Объем выпуска (в штуках, единицах)</t>
  </si>
  <si>
    <t>Запасы:</t>
  </si>
  <si>
    <t>Переменные, в том числе:</t>
  </si>
  <si>
    <t>Коммерческие расходы:</t>
  </si>
  <si>
    <t>Управленческие расходы:</t>
  </si>
  <si>
    <t>EBITDA:</t>
  </si>
  <si>
    <t>Амортизация:</t>
  </si>
  <si>
    <t>Для спидометра:</t>
  </si>
  <si>
    <t>EBIT:</t>
  </si>
  <si>
    <t>Проценты за кредиты:</t>
  </si>
  <si>
    <t>Прочие доходы:</t>
  </si>
  <si>
    <t>Прочие расходы:</t>
  </si>
  <si>
    <t>Налог на прибыль:</t>
  </si>
  <si>
    <t>Коэффициенты</t>
  </si>
  <si>
    <t>Наименование</t>
  </si>
  <si>
    <t>Изменения</t>
  </si>
  <si>
    <t>Операционный рычаг:</t>
  </si>
  <si>
    <t>Ценовой операционный рычаг:</t>
  </si>
  <si>
    <t>Порог рентабельности (руб.):</t>
  </si>
  <si>
    <t>Запас финанс. прочности (руб):</t>
  </si>
  <si>
    <t>Экон. рентаб. ( &gt; ставки рефинанс.):</t>
  </si>
  <si>
    <t>Долговая нагрузка (D/TA)</t>
  </si>
  <si>
    <t>Чистые активы:</t>
  </si>
  <si>
    <t>Рентабельность чистых активов:</t>
  </si>
  <si>
    <t>Норма прибыли на чистые активы:</t>
  </si>
  <si>
    <t>Дифференц. фин. рычага (только +):</t>
  </si>
  <si>
    <t>Коэффиц. покрытия % по кредитам:</t>
  </si>
  <si>
    <t>TC (Total costs) совокупные затраты:</t>
  </si>
  <si>
    <t>AVC (Average variable costs)</t>
  </si>
  <si>
    <t>MC (Margin Costs)</t>
  </si>
  <si>
    <t>MR (Margin Revenue)</t>
  </si>
  <si>
    <t>Точка безубыточности по объему</t>
  </si>
  <si>
    <t>Стоимость капитала</t>
  </si>
  <si>
    <t>WACC сегодня</t>
  </si>
  <si>
    <t>Краткосрочные</t>
  </si>
  <si>
    <t>Долгосрочные</t>
  </si>
  <si>
    <t>Авансы</t>
  </si>
  <si>
    <t>Прочие</t>
  </si>
  <si>
    <t>Итого заемный</t>
  </si>
  <si>
    <t>Общий капитал</t>
  </si>
  <si>
    <t>"Собственный" капитал</t>
  </si>
  <si>
    <t>WACC прошлогодний</t>
  </si>
  <si>
    <t>WACC изменения</t>
  </si>
  <si>
    <t xml:space="preserve">Расчеты WACC </t>
  </si>
  <si>
    <t>Капитал компании</t>
  </si>
  <si>
    <t>Структура источников дохода</t>
  </si>
  <si>
    <t>Отчет о доходах и расходах</t>
  </si>
  <si>
    <t>Валовая прибыль</t>
  </si>
  <si>
    <t>Чистая прибыль (убыток)</t>
  </si>
  <si>
    <t>Маржинальная прибыль</t>
  </si>
  <si>
    <t>Отношение маржинальной прибыли 
к выручке</t>
  </si>
  <si>
    <t>Баланс компании</t>
  </si>
  <si>
    <t>на 2014 г.</t>
  </si>
  <si>
    <t>за 2014 г.</t>
  </si>
  <si>
    <t>незавершенное пр-во (сч. 20, 21, 23, 44)</t>
  </si>
  <si>
    <t>прочие запасы (сч. 41, 45, 97)</t>
  </si>
  <si>
    <t>Прочие текущие активы (сч. 19, 58.3)</t>
  </si>
  <si>
    <t>прочие кредиторы (сч. 71, 73, 76, 79)</t>
  </si>
  <si>
    <t>Прочие текущие пассивы (сч. 75, 96, 98)</t>
  </si>
  <si>
    <t>За отчетный период (2014 г.), руб.</t>
  </si>
  <si>
    <t>За аналогичный период предыдущего года (2013 г.), руб.</t>
  </si>
  <si>
    <t>За аналогичный период позапрошлого года (2012 г.), руб.</t>
  </si>
  <si>
    <t>EBITDA  (стр. 3 – стр. 4)</t>
  </si>
  <si>
    <t>EBIT (п. 5 – п. 6)</t>
  </si>
  <si>
    <r>
      <rPr>
        <sz val="11"/>
        <color indexed="8"/>
        <rFont val="Calibri"/>
        <family val="2"/>
      </rPr>
      <t>«</t>
    </r>
    <r>
      <rPr>
        <sz val="11"/>
        <color indexed="8"/>
        <rFont val="Calibri"/>
        <family val="2"/>
      </rPr>
      <t>Собственный</t>
    </r>
    <r>
      <rPr>
        <sz val="11"/>
        <color indexed="8"/>
        <rFont val="Calibri"/>
        <family val="2"/>
      </rPr>
      <t>»</t>
    </r>
    <r>
      <rPr>
        <sz val="11"/>
        <color indexed="8"/>
        <rFont val="Calibri"/>
        <family val="2"/>
      </rPr>
      <t xml:space="preserve"> капитал:</t>
    </r>
  </si>
  <si>
    <r>
      <t xml:space="preserve">Стоимость </t>
    </r>
    <r>
      <rPr>
        <sz val="10"/>
        <color indexed="62"/>
        <rFont val="Calibri"/>
        <family val="2"/>
      </rPr>
      <t>«</t>
    </r>
    <r>
      <rPr>
        <i/>
        <sz val="10"/>
        <color indexed="62"/>
        <rFont val="Calibri"/>
        <family val="2"/>
      </rPr>
      <t>собственного</t>
    </r>
    <r>
      <rPr>
        <sz val="10"/>
        <color indexed="62"/>
        <rFont val="Calibri"/>
        <family val="2"/>
      </rPr>
      <t>»</t>
    </r>
    <r>
      <rPr>
        <i/>
        <sz val="10"/>
        <color indexed="62"/>
        <rFont val="Calibri"/>
        <family val="2"/>
      </rPr>
      <t xml:space="preserve"> в % годовых</t>
    </r>
  </si>
  <si>
    <t>Плечо фин. рычага (большое – риск):</t>
  </si>
  <si>
    <t>ATC (Average total costs) реальн. себес.</t>
  </si>
  <si>
    <t>Выручка минус затраты:  TR – TC</t>
  </si>
  <si>
    <t>Цена минус ср. совок. затр:  P – ATC</t>
  </si>
  <si>
    <t>Цена минус ср. перем. затр:  P – AVC</t>
  </si>
  <si>
    <t>Цена минус марж. затраты:  P – MC</t>
  </si>
  <si>
    <t>Цена минус марж. доходность:  P – MR</t>
  </si>
  <si>
    <r>
      <t xml:space="preserve">Общий рычаг (финансов. </t>
    </r>
    <r>
      <rPr>
        <sz val="11"/>
        <color indexed="8"/>
        <rFont val="Calibri"/>
        <family val="2"/>
      </rPr>
      <t>×</t>
    </r>
    <r>
      <rPr>
        <sz val="16.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операцион.):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</si>
</sst>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00"/>
    <numFmt numFmtId="174" formatCode="#,##0.000_ ;[Red]\-#,##0.000\ "/>
    <numFmt numFmtId="175" formatCode="0.000"/>
    <numFmt numFmtId="176" formatCode="#,##0.00_ ;[Red]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i/>
      <sz val="10"/>
      <color indexed="62"/>
      <name val="Calibri"/>
      <family val="2"/>
    </font>
    <font>
      <sz val="10"/>
      <color indexed="62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30"/>
      <name val="Calibri"/>
      <family val="2"/>
    </font>
    <font>
      <sz val="8"/>
      <color indexed="55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55"/>
      <name val="Arial Cyr"/>
      <family val="0"/>
    </font>
    <font>
      <sz val="12"/>
      <color indexed="63"/>
      <name val="Segoe UI Light"/>
      <family val="0"/>
    </font>
    <font>
      <sz val="18"/>
      <color indexed="60"/>
      <name val="Segoe UI Light"/>
      <family val="0"/>
    </font>
    <font>
      <sz val="12"/>
      <color indexed="60"/>
      <name val="Segoe UI Light"/>
      <family val="0"/>
    </font>
    <font>
      <sz val="12"/>
      <color indexed="30"/>
      <name val="Segoe UI Light"/>
      <family val="0"/>
    </font>
    <font>
      <sz val="12"/>
      <color indexed="17"/>
      <name val="Segoe UI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 tint="-0.24997000396251678"/>
      <name val="Calibri"/>
      <family val="2"/>
    </font>
    <font>
      <sz val="11"/>
      <color rgb="FF0070C0"/>
      <name val="Calibri"/>
      <family val="2"/>
    </font>
    <font>
      <sz val="8"/>
      <color theme="0" tint="-0.24997000396251678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8"/>
      <color theme="0" tint="-0.24997000396251678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3F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8"/>
        <bgColor indexed="64"/>
      </patternFill>
    </fill>
    <fill>
      <patternFill patternType="solid">
        <fgColor rgb="FFFFFCF7"/>
        <bgColor indexed="64"/>
      </patternFill>
    </fill>
    <fill>
      <patternFill patternType="solid">
        <fgColor rgb="FFDCE6F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/>
      <right/>
      <top style="double">
        <color rgb="FF00B050"/>
      </top>
      <bottom/>
    </border>
    <border>
      <left/>
      <right style="double">
        <color rgb="FF00B050"/>
      </right>
      <top style="double">
        <color rgb="FF00B050"/>
      </top>
      <bottom/>
    </border>
    <border>
      <left style="double">
        <color rgb="FF00B050"/>
      </left>
      <right/>
      <top/>
      <bottom/>
    </border>
    <border>
      <left/>
      <right style="double">
        <color rgb="FF00B050"/>
      </right>
      <top/>
      <bottom/>
    </border>
    <border>
      <left style="double">
        <color rgb="FF00B050"/>
      </left>
      <right/>
      <top/>
      <bottom style="double">
        <color rgb="FF00B050"/>
      </bottom>
    </border>
    <border>
      <left/>
      <right/>
      <top/>
      <bottom style="double">
        <color rgb="FF00B050"/>
      </bottom>
    </border>
    <border>
      <left/>
      <right style="double">
        <color rgb="FF00B050"/>
      </right>
      <top/>
      <bottom style="double">
        <color rgb="FF00B050"/>
      </bottom>
    </border>
    <border>
      <left/>
      <right/>
      <top style="double">
        <color theme="9" tint="-0.24993999302387238"/>
      </top>
      <bottom/>
    </border>
    <border>
      <left/>
      <right style="double">
        <color theme="9" tint="-0.24993999302387238"/>
      </right>
      <top style="double">
        <color theme="9" tint="-0.24993999302387238"/>
      </top>
      <bottom/>
    </border>
    <border>
      <left style="double">
        <color theme="9" tint="-0.24993999302387238"/>
      </left>
      <right/>
      <top/>
      <bottom/>
    </border>
    <border>
      <left/>
      <right style="double">
        <color theme="9" tint="-0.24993999302387238"/>
      </right>
      <top/>
      <bottom/>
    </border>
    <border>
      <left/>
      <right/>
      <top/>
      <bottom style="double">
        <color theme="9" tint="-0.24993999302387238"/>
      </bottom>
    </border>
    <border>
      <left/>
      <right style="double">
        <color theme="9" tint="-0.24993999302387238"/>
      </right>
      <top/>
      <bottom style="double">
        <color theme="9" tint="-0.24993999302387238"/>
      </bottom>
    </border>
    <border>
      <left style="thin"/>
      <right style="thin"/>
      <top style="thin"/>
      <bottom style="thin"/>
    </border>
    <border>
      <left style="double">
        <color rgb="FF00B050"/>
      </left>
      <right/>
      <top style="double">
        <color rgb="FF00B050"/>
      </top>
      <bottom/>
    </border>
    <border>
      <left style="double">
        <color theme="9" tint="-0.24993999302387238"/>
      </left>
      <right/>
      <top style="double">
        <color theme="9" tint="-0.24993999302387238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uble">
        <color theme="9" tint="-0.24993999302387238"/>
      </left>
      <right/>
      <top/>
      <bottom style="double">
        <color theme="9" tint="-0.24993999302387238"/>
      </bottom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55" applyFont="1" applyBorder="1" applyAlignment="1" applyProtection="1">
      <alignment horizontal="left" vertical="center"/>
      <protection locked="0"/>
    </xf>
    <xf numFmtId="0" fontId="28" fillId="0" borderId="0" xfId="55" applyFont="1" applyBorder="1" applyAlignment="1" applyProtection="1">
      <alignment horizontal="left" vertical="center"/>
      <protection locked="0"/>
    </xf>
    <xf numFmtId="0" fontId="0" fillId="0" borderId="0" xfId="52" applyProtection="1">
      <alignment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0" xfId="52" applyFill="1" applyBorder="1" applyAlignment="1" applyProtection="1">
      <alignment/>
      <protection/>
    </xf>
    <xf numFmtId="0" fontId="0" fillId="8" borderId="10" xfId="52" applyFill="1" applyBorder="1" applyAlignment="1" applyProtection="1">
      <alignment horizontal="center" vertical="center"/>
      <protection/>
    </xf>
    <xf numFmtId="0" fontId="0" fillId="8" borderId="10" xfId="52" applyFont="1" applyFill="1" applyBorder="1" applyAlignment="1" applyProtection="1">
      <alignment horizontal="center" vertical="center"/>
      <protection/>
    </xf>
    <xf numFmtId="0" fontId="0" fillId="34" borderId="11" xfId="52" applyNumberFormat="1" applyFill="1" applyBorder="1" applyProtection="1">
      <alignment/>
      <protection/>
    </xf>
    <xf numFmtId="3" fontId="0" fillId="34" borderId="12" xfId="52" applyNumberFormat="1" applyFont="1" applyFill="1" applyBorder="1" applyAlignment="1" applyProtection="1">
      <alignment horizontal="center" vertical="center"/>
      <protection/>
    </xf>
    <xf numFmtId="3" fontId="27" fillId="34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59" applyNumberFormat="1" applyFont="1" applyFill="1" applyBorder="1" applyAlignment="1" applyProtection="1">
      <alignment/>
      <protection locked="0"/>
    </xf>
    <xf numFmtId="0" fontId="0" fillId="0" borderId="0" xfId="52" applyFill="1" applyProtection="1">
      <alignment/>
      <protection/>
    </xf>
    <xf numFmtId="0" fontId="0" fillId="34" borderId="14" xfId="52" applyNumberFormat="1" applyFill="1" applyBorder="1" applyProtection="1">
      <alignment/>
      <protection/>
    </xf>
    <xf numFmtId="3" fontId="0" fillId="34" borderId="0" xfId="52" applyNumberFormat="1" applyFont="1" applyFill="1" applyBorder="1" applyAlignment="1" applyProtection="1">
      <alignment horizontal="center" vertical="center"/>
      <protection/>
    </xf>
    <xf numFmtId="3" fontId="27" fillId="34" borderId="0" xfId="0" applyNumberFormat="1" applyFont="1" applyFill="1" applyBorder="1" applyAlignment="1" applyProtection="1">
      <alignment horizontal="center" vertical="center"/>
      <protection/>
    </xf>
    <xf numFmtId="1" fontId="0" fillId="0" borderId="15" xfId="59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9" fillId="34" borderId="14" xfId="52" applyFont="1" applyFill="1" applyBorder="1" applyAlignment="1" applyProtection="1">
      <alignment horizontal="right" vertical="center"/>
      <protection/>
    </xf>
    <xf numFmtId="0" fontId="0" fillId="35" borderId="10" xfId="52" applyNumberFormat="1" applyFill="1" applyBorder="1" applyAlignment="1" applyProtection="1">
      <alignment horizontal="center" vertical="center"/>
      <protection locked="0"/>
    </xf>
    <xf numFmtId="0" fontId="0" fillId="35" borderId="16" xfId="52" applyNumberFormat="1" applyFill="1" applyBorder="1" applyAlignment="1" applyProtection="1">
      <alignment horizontal="center" vertical="center"/>
      <protection locked="0"/>
    </xf>
    <xf numFmtId="0" fontId="0" fillId="35" borderId="17" xfId="52" applyNumberFormat="1" applyFill="1" applyBorder="1" applyAlignment="1" applyProtection="1">
      <alignment horizontal="center" vertical="center"/>
      <protection locked="0"/>
    </xf>
    <xf numFmtId="3" fontId="60" fillId="34" borderId="0" xfId="0" applyNumberFormat="1" applyFont="1" applyFill="1" applyBorder="1" applyAlignment="1" applyProtection="1">
      <alignment horizontal="center" vertical="center"/>
      <protection/>
    </xf>
    <xf numFmtId="1" fontId="43" fillId="0" borderId="15" xfId="59" applyNumberFormat="1" applyFont="1" applyFill="1" applyBorder="1" applyAlignment="1" applyProtection="1">
      <alignment/>
      <protection locked="0"/>
    </xf>
    <xf numFmtId="0" fontId="0" fillId="34" borderId="14" xfId="52" applyNumberFormat="1" applyFill="1" applyBorder="1" applyAlignment="1" applyProtection="1">
      <alignment/>
      <protection/>
    </xf>
    <xf numFmtId="4" fontId="0" fillId="34" borderId="0" xfId="52" applyNumberFormat="1" applyFont="1" applyFill="1" applyBorder="1" applyAlignment="1" applyProtection="1">
      <alignment horizontal="center" vertical="center"/>
      <protection/>
    </xf>
    <xf numFmtId="4" fontId="27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18" xfId="52" applyNumberFormat="1" applyFill="1" applyBorder="1" applyAlignment="1" applyProtection="1">
      <alignment/>
      <protection/>
    </xf>
    <xf numFmtId="3" fontId="27" fillId="34" borderId="19" xfId="0" applyNumberFormat="1" applyFont="1" applyFill="1" applyBorder="1" applyAlignment="1" applyProtection="1">
      <alignment horizontal="center" vertical="center"/>
      <protection/>
    </xf>
    <xf numFmtId="3" fontId="60" fillId="34" borderId="19" xfId="0" applyNumberFormat="1" applyFont="1" applyFill="1" applyBorder="1" applyAlignment="1" applyProtection="1">
      <alignment horizontal="center" vertical="center"/>
      <protection/>
    </xf>
    <xf numFmtId="1" fontId="43" fillId="0" borderId="20" xfId="59" applyNumberFormat="1" applyFont="1" applyFill="1" applyBorder="1" applyAlignment="1" applyProtection="1">
      <alignment/>
      <protection locked="0"/>
    </xf>
    <xf numFmtId="172" fontId="0" fillId="36" borderId="21" xfId="52" applyNumberFormat="1" applyFont="1" applyFill="1" applyBorder="1" applyAlignment="1" applyProtection="1">
      <alignment horizontal="center" vertical="center"/>
      <protection/>
    </xf>
    <xf numFmtId="1" fontId="43" fillId="0" borderId="22" xfId="59" applyNumberFormat="1" applyFont="1" applyFill="1" applyBorder="1" applyAlignment="1" applyProtection="1">
      <alignment/>
      <protection locked="0"/>
    </xf>
    <xf numFmtId="0" fontId="0" fillId="36" borderId="23" xfId="52" applyNumberFormat="1" applyFill="1" applyBorder="1" applyAlignment="1" applyProtection="1">
      <alignment/>
      <protection/>
    </xf>
    <xf numFmtId="173" fontId="0" fillId="36" borderId="0" xfId="52" applyNumberFormat="1" applyFont="1" applyFill="1" applyBorder="1" applyAlignment="1" applyProtection="1">
      <alignment horizontal="center" vertical="center"/>
      <protection/>
    </xf>
    <xf numFmtId="174" fontId="0" fillId="36" borderId="0" xfId="52" applyNumberFormat="1" applyFont="1" applyFill="1" applyBorder="1" applyAlignment="1" applyProtection="1">
      <alignment horizontal="center" vertical="center"/>
      <protection/>
    </xf>
    <xf numFmtId="174" fontId="60" fillId="36" borderId="0" xfId="52" applyNumberFormat="1" applyFont="1" applyFill="1" applyBorder="1" applyAlignment="1" applyProtection="1">
      <alignment horizontal="center" vertical="center"/>
      <protection/>
    </xf>
    <xf numFmtId="1" fontId="43" fillId="0" borderId="24" xfId="59" applyNumberFormat="1" applyFont="1" applyFill="1" applyBorder="1" applyAlignment="1" applyProtection="1">
      <alignment/>
      <protection locked="0"/>
    </xf>
    <xf numFmtId="3" fontId="0" fillId="36" borderId="0" xfId="52" applyNumberFormat="1" applyFont="1" applyFill="1" applyBorder="1" applyAlignment="1" applyProtection="1">
      <alignment horizontal="center" vertical="center"/>
      <protection/>
    </xf>
    <xf numFmtId="1" fontId="0" fillId="0" borderId="24" xfId="59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4" fontId="0" fillId="36" borderId="0" xfId="52" applyNumberFormat="1" applyFont="1" applyFill="1" applyBorder="1" applyAlignment="1" applyProtection="1">
      <alignment horizontal="center" vertical="center"/>
      <protection/>
    </xf>
    <xf numFmtId="0" fontId="0" fillId="36" borderId="23" xfId="52" applyNumberFormat="1" applyFill="1" applyBorder="1" applyProtection="1">
      <alignment/>
      <protection/>
    </xf>
    <xf numFmtId="3" fontId="27" fillId="36" borderId="0" xfId="0" applyNumberFormat="1" applyFont="1" applyFill="1" applyBorder="1" applyAlignment="1" applyProtection="1">
      <alignment horizontal="center" vertical="center"/>
      <protection/>
    </xf>
    <xf numFmtId="172" fontId="0" fillId="36" borderId="0" xfId="52" applyNumberFormat="1" applyFont="1" applyFill="1" applyBorder="1" applyAlignment="1" applyProtection="1">
      <alignment horizontal="center" vertical="center"/>
      <protection/>
    </xf>
    <xf numFmtId="3" fontId="60" fillId="36" borderId="0" xfId="52" applyNumberFormat="1" applyFont="1" applyFill="1" applyBorder="1" applyAlignment="1" applyProtection="1">
      <alignment horizontal="center" vertical="center"/>
      <protection/>
    </xf>
    <xf numFmtId="3" fontId="61" fillId="0" borderId="0" xfId="0" applyNumberFormat="1" applyFont="1" applyBorder="1" applyAlignment="1" applyProtection="1">
      <alignment/>
      <protection locked="0"/>
    </xf>
    <xf numFmtId="3" fontId="61" fillId="0" borderId="0" xfId="0" applyNumberFormat="1" applyFont="1" applyBorder="1" applyAlignment="1" applyProtection="1">
      <alignment/>
      <protection/>
    </xf>
    <xf numFmtId="3" fontId="61" fillId="0" borderId="0" xfId="0" applyNumberFormat="1" applyFont="1" applyFill="1" applyBorder="1" applyAlignment="1" applyProtection="1">
      <alignment/>
      <protection locked="0"/>
    </xf>
    <xf numFmtId="3" fontId="61" fillId="0" borderId="0" xfId="0" applyNumberFormat="1" applyFont="1" applyFill="1" applyBorder="1" applyAlignment="1" applyProtection="1">
      <alignment/>
      <protection/>
    </xf>
    <xf numFmtId="0" fontId="0" fillId="36" borderId="25" xfId="52" applyNumberFormat="1" applyFill="1" applyBorder="1" applyAlignment="1" applyProtection="1">
      <alignment/>
      <protection/>
    </xf>
    <xf numFmtId="3" fontId="0" fillId="36" borderId="26" xfId="52" applyNumberFormat="1" applyFont="1" applyFill="1" applyBorder="1" applyAlignment="1" applyProtection="1">
      <alignment horizontal="center" vertical="center"/>
      <protection/>
    </xf>
    <xf numFmtId="1" fontId="0" fillId="0" borderId="27" xfId="59" applyNumberFormat="1" applyFont="1" applyFill="1" applyBorder="1" applyAlignment="1" applyProtection="1">
      <alignment/>
      <protection locked="0"/>
    </xf>
    <xf numFmtId="3" fontId="0" fillId="0" borderId="0" xfId="52" applyNumberFormat="1" applyFont="1" applyFill="1" applyBorder="1" applyAlignment="1" applyProtection="1">
      <alignment horizontal="center" vertical="center"/>
      <protection/>
    </xf>
    <xf numFmtId="1" fontId="0" fillId="0" borderId="0" xfId="59" applyNumberFormat="1" applyFont="1" applyFill="1" applyBorder="1" applyAlignment="1" applyProtection="1">
      <alignment/>
      <protection/>
    </xf>
    <xf numFmtId="173" fontId="0" fillId="37" borderId="28" xfId="52" applyNumberFormat="1" applyFont="1" applyFill="1" applyBorder="1" applyAlignment="1" applyProtection="1">
      <alignment horizontal="center" vertical="center"/>
      <protection/>
    </xf>
    <xf numFmtId="173" fontId="60" fillId="37" borderId="28" xfId="52" applyNumberFormat="1" applyFont="1" applyFill="1" applyBorder="1" applyAlignment="1" applyProtection="1">
      <alignment horizontal="center" vertical="center"/>
      <protection/>
    </xf>
    <xf numFmtId="1" fontId="0" fillId="37" borderId="29" xfId="59" applyNumberFormat="1" applyFont="1" applyFill="1" applyBorder="1" applyAlignment="1" applyProtection="1">
      <alignment/>
      <protection/>
    </xf>
    <xf numFmtId="0" fontId="0" fillId="37" borderId="30" xfId="52" applyNumberFormat="1" applyFill="1" applyBorder="1" applyProtection="1">
      <alignment/>
      <protection/>
    </xf>
    <xf numFmtId="175" fontId="0" fillId="37" borderId="0" xfId="52" applyNumberFormat="1" applyFont="1" applyFill="1" applyBorder="1" applyAlignment="1" applyProtection="1">
      <alignment horizontal="center" vertical="center"/>
      <protection/>
    </xf>
    <xf numFmtId="173" fontId="0" fillId="37" borderId="0" xfId="52" applyNumberFormat="1" applyFont="1" applyFill="1" applyBorder="1" applyAlignment="1" applyProtection="1">
      <alignment horizontal="center" vertical="center"/>
      <protection/>
    </xf>
    <xf numFmtId="173" fontId="60" fillId="37" borderId="0" xfId="52" applyNumberFormat="1" applyFont="1" applyFill="1" applyBorder="1" applyAlignment="1" applyProtection="1">
      <alignment horizontal="center" vertical="center"/>
      <protection/>
    </xf>
    <xf numFmtId="1" fontId="0" fillId="37" borderId="31" xfId="59" applyNumberFormat="1" applyFont="1" applyFill="1" applyBorder="1" applyAlignment="1" applyProtection="1">
      <alignment/>
      <protection/>
    </xf>
    <xf numFmtId="3" fontId="0" fillId="37" borderId="0" xfId="52" applyNumberFormat="1" applyFont="1" applyFill="1" applyBorder="1" applyAlignment="1" applyProtection="1">
      <alignment horizontal="center" vertical="center"/>
      <protection/>
    </xf>
    <xf numFmtId="172" fontId="0" fillId="37" borderId="0" xfId="52" applyNumberFormat="1" applyFont="1" applyFill="1" applyBorder="1" applyAlignment="1" applyProtection="1">
      <alignment horizontal="center" vertical="center"/>
      <protection/>
    </xf>
    <xf numFmtId="3" fontId="60" fillId="37" borderId="0" xfId="52" applyNumberFormat="1" applyFont="1" applyFill="1" applyBorder="1" applyAlignment="1" applyProtection="1">
      <alignment horizontal="center" vertical="center"/>
      <protection/>
    </xf>
    <xf numFmtId="0" fontId="0" fillId="37" borderId="30" xfId="52" applyFill="1" applyBorder="1" applyProtection="1">
      <alignment/>
      <protection/>
    </xf>
    <xf numFmtId="4" fontId="0" fillId="37" borderId="0" xfId="52" applyNumberFormat="1" applyFont="1" applyFill="1" applyBorder="1" applyAlignment="1" applyProtection="1">
      <alignment horizontal="center" vertical="center"/>
      <protection/>
    </xf>
    <xf numFmtId="4" fontId="60" fillId="37" borderId="0" xfId="52" applyNumberFormat="1" applyFont="1" applyFill="1" applyBorder="1" applyAlignment="1" applyProtection="1">
      <alignment horizontal="center" vertical="center"/>
      <protection/>
    </xf>
    <xf numFmtId="9" fontId="0" fillId="37" borderId="0" xfId="59" applyFont="1" applyFill="1" applyBorder="1" applyAlignment="1" applyProtection="1">
      <alignment horizontal="center" vertical="center"/>
      <protection/>
    </xf>
    <xf numFmtId="9" fontId="60" fillId="37" borderId="0" xfId="59" applyFont="1" applyFill="1" applyBorder="1" applyAlignment="1" applyProtection="1">
      <alignment horizontal="center" vertical="center"/>
      <protection/>
    </xf>
    <xf numFmtId="2" fontId="0" fillId="37" borderId="0" xfId="52" applyNumberFormat="1" applyFont="1" applyFill="1" applyBorder="1" applyAlignment="1" applyProtection="1">
      <alignment horizontal="center" vertical="center"/>
      <protection/>
    </xf>
    <xf numFmtId="0" fontId="0" fillId="37" borderId="30" xfId="52" applyNumberFormat="1" applyFill="1" applyBorder="1" applyAlignment="1" applyProtection="1">
      <alignment/>
      <protection/>
    </xf>
    <xf numFmtId="9" fontId="0" fillId="37" borderId="31" xfId="59" applyFont="1" applyFill="1" applyBorder="1" applyAlignment="1" applyProtection="1">
      <alignment/>
      <protection/>
    </xf>
    <xf numFmtId="176" fontId="0" fillId="37" borderId="0" xfId="52" applyNumberFormat="1" applyFont="1" applyFill="1" applyBorder="1" applyAlignment="1" applyProtection="1">
      <alignment horizontal="center" vertical="center"/>
      <protection/>
    </xf>
    <xf numFmtId="0" fontId="0" fillId="37" borderId="31" xfId="52" applyFill="1" applyBorder="1" applyProtection="1">
      <alignment/>
      <protection/>
    </xf>
    <xf numFmtId="172" fontId="0" fillId="37" borderId="0" xfId="59" applyNumberFormat="1" applyFont="1" applyFill="1" applyBorder="1" applyAlignment="1" applyProtection="1">
      <alignment horizontal="center" vertical="center"/>
      <protection/>
    </xf>
    <xf numFmtId="4" fontId="0" fillId="37" borderId="0" xfId="59" applyNumberFormat="1" applyFont="1" applyFill="1" applyBorder="1" applyAlignment="1" applyProtection="1">
      <alignment horizontal="center" vertical="center"/>
      <protection/>
    </xf>
    <xf numFmtId="4" fontId="0" fillId="37" borderId="32" xfId="59" applyNumberFormat="1" applyFont="1" applyFill="1" applyBorder="1" applyAlignment="1" applyProtection="1">
      <alignment horizontal="center" vertical="center"/>
      <protection/>
    </xf>
    <xf numFmtId="4" fontId="60" fillId="37" borderId="32" xfId="59" applyNumberFormat="1" applyFont="1" applyFill="1" applyBorder="1" applyAlignment="1" applyProtection="1">
      <alignment horizontal="center" vertical="center"/>
      <protection/>
    </xf>
    <xf numFmtId="0" fontId="0" fillId="37" borderId="33" xfId="52" applyFill="1" applyBorder="1" applyProtection="1">
      <alignment/>
      <protection/>
    </xf>
    <xf numFmtId="0" fontId="5" fillId="0" borderId="0" xfId="54" applyFont="1" applyBorder="1" applyAlignment="1" applyProtection="1">
      <alignment vertical="center"/>
      <protection/>
    </xf>
    <xf numFmtId="4" fontId="0" fillId="0" borderId="0" xfId="52" applyNumberFormat="1" applyProtection="1">
      <alignment/>
      <protection/>
    </xf>
    <xf numFmtId="3" fontId="27" fillId="35" borderId="0" xfId="0" applyNumberFormat="1" applyFont="1" applyFill="1" applyBorder="1" applyAlignment="1" applyProtection="1">
      <alignment horizontal="center" vertical="center"/>
      <protection/>
    </xf>
    <xf numFmtId="3" fontId="60" fillId="35" borderId="0" xfId="0" applyNumberFormat="1" applyFont="1" applyFill="1" applyBorder="1" applyAlignment="1" applyProtection="1">
      <alignment horizontal="center" vertical="center"/>
      <protection/>
    </xf>
    <xf numFmtId="1" fontId="43" fillId="35" borderId="0" xfId="59" applyNumberFormat="1" applyFont="1" applyFill="1" applyBorder="1" applyAlignment="1" applyProtection="1">
      <alignment/>
      <protection locked="0"/>
    </xf>
    <xf numFmtId="0" fontId="62" fillId="0" borderId="0" xfId="52" applyFont="1" applyProtection="1">
      <alignment/>
      <protection/>
    </xf>
    <xf numFmtId="0" fontId="62" fillId="0" borderId="0" xfId="52" applyFont="1" applyProtection="1">
      <alignment/>
      <protection locked="0"/>
    </xf>
    <xf numFmtId="0" fontId="2" fillId="0" borderId="0" xfId="54" applyAlignment="1" applyProtection="1">
      <alignment vertical="top"/>
      <protection locked="0"/>
    </xf>
    <xf numFmtId="0" fontId="0" fillId="0" borderId="0" xfId="52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0" fillId="8" borderId="34" xfId="52" applyFill="1" applyBorder="1" applyAlignment="1" applyProtection="1">
      <alignment horizontal="center" vertical="center"/>
      <protection locked="0"/>
    </xf>
    <xf numFmtId="2" fontId="0" fillId="34" borderId="34" xfId="52" applyNumberFormat="1" applyFill="1" applyBorder="1" applyAlignment="1" applyProtection="1">
      <alignment horizontal="left" vertical="center"/>
      <protection locked="0"/>
    </xf>
    <xf numFmtId="0" fontId="5" fillId="0" borderId="0" xfId="54" applyFont="1" applyBorder="1" applyAlignment="1" applyProtection="1">
      <alignment vertical="center"/>
      <protection locked="0"/>
    </xf>
    <xf numFmtId="175" fontId="27" fillId="34" borderId="34" xfId="52" applyNumberFormat="1" applyFont="1" applyFill="1" applyBorder="1" applyAlignment="1" applyProtection="1">
      <alignment horizontal="right" vertical="center"/>
      <protection locked="0"/>
    </xf>
    <xf numFmtId="0" fontId="63" fillId="0" borderId="0" xfId="52" applyFont="1" applyProtection="1">
      <alignment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175" fontId="0" fillId="34" borderId="34" xfId="52" applyNumberFormat="1" applyFill="1" applyBorder="1" applyAlignment="1" applyProtection="1">
      <alignment horizontal="right" vertical="center"/>
      <protection locked="0"/>
    </xf>
    <xf numFmtId="3" fontId="0" fillId="0" borderId="0" xfId="52" applyNumberFormat="1" applyProtection="1">
      <alignment/>
      <protection locked="0"/>
    </xf>
    <xf numFmtId="4" fontId="0" fillId="0" borderId="0" xfId="52" applyNumberFormat="1" applyProtection="1">
      <alignment/>
      <protection locked="0"/>
    </xf>
    <xf numFmtId="0" fontId="0" fillId="0" borderId="0" xfId="52" applyBorder="1" applyProtection="1">
      <alignment/>
      <protection locked="0"/>
    </xf>
    <xf numFmtId="4" fontId="0" fillId="0" borderId="0" xfId="59" applyNumberFormat="1" applyFont="1" applyBorder="1" applyAlignment="1" applyProtection="1">
      <alignment/>
      <protection locked="0"/>
    </xf>
    <xf numFmtId="0" fontId="0" fillId="36" borderId="35" xfId="52" applyNumberFormat="1" applyFont="1" applyFill="1" applyBorder="1" applyAlignment="1" applyProtection="1">
      <alignment/>
      <protection/>
    </xf>
    <xf numFmtId="172" fontId="0" fillId="36" borderId="21" xfId="0" applyNumberFormat="1" applyFont="1" applyFill="1" applyBorder="1" applyAlignment="1" applyProtection="1">
      <alignment horizontal="center" vertical="center"/>
      <protection/>
    </xf>
    <xf numFmtId="0" fontId="0" fillId="36" borderId="23" xfId="52" applyNumberFormat="1" applyFont="1" applyFill="1" applyBorder="1" applyAlignment="1" applyProtection="1">
      <alignment/>
      <protection/>
    </xf>
    <xf numFmtId="0" fontId="0" fillId="37" borderId="36" xfId="52" applyNumberFormat="1" applyFont="1" applyFill="1" applyBorder="1" applyAlignment="1" applyProtection="1">
      <alignment wrapText="1"/>
      <protection/>
    </xf>
    <xf numFmtId="0" fontId="62" fillId="0" borderId="0" xfId="0" applyFont="1" applyAlignment="1">
      <alignment/>
    </xf>
    <xf numFmtId="0" fontId="33" fillId="0" borderId="0" xfId="55" applyFont="1" applyAlignment="1" applyProtection="1">
      <alignment/>
      <protection locked="0"/>
    </xf>
    <xf numFmtId="0" fontId="33" fillId="0" borderId="0" xfId="55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8" fillId="32" borderId="37" xfId="64" applyFont="1" applyBorder="1" applyAlignment="1" applyProtection="1">
      <alignment horizontal="center" vertical="center"/>
      <protection locked="0"/>
    </xf>
    <xf numFmtId="0" fontId="58" fillId="32" borderId="38" xfId="64" applyFont="1" applyBorder="1" applyAlignment="1" applyProtection="1">
      <alignment horizontal="center" vertical="center"/>
      <protection locked="0"/>
    </xf>
    <xf numFmtId="0" fontId="58" fillId="32" borderId="39" xfId="64" applyFont="1" applyBorder="1" applyAlignment="1" applyProtection="1">
      <alignment horizontal="center" vertical="center"/>
      <protection locked="0"/>
    </xf>
    <xf numFmtId="4" fontId="0" fillId="2" borderId="37" xfId="15" applyNumberFormat="1" applyFont="1" applyBorder="1" applyAlignment="1" applyProtection="1">
      <alignment horizontal="right"/>
      <protection/>
    </xf>
    <xf numFmtId="0" fontId="0" fillId="4" borderId="40" xfId="17" applyFont="1" applyBorder="1" applyAlignment="1" applyProtection="1">
      <alignment horizontal="center"/>
      <protection locked="0"/>
    </xf>
    <xf numFmtId="0" fontId="0" fillId="4" borderId="41" xfId="17" applyFont="1" applyBorder="1" applyAlignment="1" applyProtection="1">
      <alignment/>
      <protection locked="0"/>
    </xf>
    <xf numFmtId="4" fontId="0" fillId="4" borderId="37" xfId="17" applyNumberFormat="1" applyFont="1" applyBorder="1" applyAlignment="1" applyProtection="1">
      <alignment horizontal="right"/>
      <protection/>
    </xf>
    <xf numFmtId="4" fontId="0" fillId="4" borderId="39" xfId="17" applyNumberFormat="1" applyFont="1" applyBorder="1" applyAlignment="1" applyProtection="1">
      <alignment horizontal="right"/>
      <protection/>
    </xf>
    <xf numFmtId="0" fontId="0" fillId="2" borderId="42" xfId="15" applyFont="1" applyBorder="1" applyAlignment="1" applyProtection="1">
      <alignment horizontal="center"/>
      <protection locked="0"/>
    </xf>
    <xf numFmtId="0" fontId="0" fillId="2" borderId="43" xfId="15" applyFont="1" applyBorder="1" applyAlignment="1" applyProtection="1">
      <alignment/>
      <protection locked="0"/>
    </xf>
    <xf numFmtId="4" fontId="0" fillId="35" borderId="44" xfId="15" applyNumberFormat="1" applyFont="1" applyFill="1" applyBorder="1" applyAlignment="1" applyProtection="1">
      <alignment horizontal="right"/>
      <protection locked="0"/>
    </xf>
    <xf numFmtId="0" fontId="0" fillId="2" borderId="45" xfId="15" applyFont="1" applyBorder="1" applyAlignment="1" applyProtection="1">
      <alignment horizontal="center"/>
      <protection locked="0"/>
    </xf>
    <xf numFmtId="0" fontId="0" fillId="2" borderId="46" xfId="15" applyFont="1" applyBorder="1" applyAlignment="1" applyProtection="1">
      <alignment/>
      <protection locked="0"/>
    </xf>
    <xf numFmtId="4" fontId="0" fillId="2" borderId="47" xfId="15" applyNumberFormat="1" applyFont="1" applyBorder="1" applyAlignment="1" applyProtection="1">
      <alignment horizontal="right"/>
      <protection locked="0"/>
    </xf>
    <xf numFmtId="4" fontId="0" fillId="35" borderId="47" xfId="1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2" borderId="45" xfId="15" applyNumberFormat="1" applyFont="1" applyBorder="1" applyAlignment="1" applyProtection="1">
      <alignment horizontal="center"/>
      <protection locked="0"/>
    </xf>
    <xf numFmtId="4" fontId="0" fillId="2" borderId="47" xfId="15" applyNumberFormat="1" applyFont="1" applyBorder="1" applyAlignment="1" applyProtection="1">
      <alignment/>
      <protection locked="0"/>
    </xf>
    <xf numFmtId="4" fontId="0" fillId="35" borderId="48" xfId="15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49" xfId="15" applyFont="1" applyBorder="1" applyAlignment="1" applyProtection="1">
      <alignment horizontal="center"/>
      <protection locked="0"/>
    </xf>
    <xf numFmtId="0" fontId="0" fillId="2" borderId="50" xfId="15" applyFont="1" applyBorder="1" applyAlignment="1" applyProtection="1">
      <alignment/>
      <protection locked="0"/>
    </xf>
    <xf numFmtId="4" fontId="0" fillId="35" borderId="51" xfId="15" applyNumberFormat="1" applyFont="1" applyFill="1" applyBorder="1" applyAlignment="1" applyProtection="1">
      <alignment horizontal="right"/>
      <protection locked="0"/>
    </xf>
    <xf numFmtId="0" fontId="0" fillId="4" borderId="41" xfId="17" applyFont="1" applyBorder="1" applyAlignment="1" applyProtection="1">
      <alignment horizontal="left" vertical="center"/>
      <protection locked="0"/>
    </xf>
    <xf numFmtId="0" fontId="0" fillId="2" borderId="43" xfId="15" applyFont="1" applyBorder="1" applyAlignment="1" applyProtection="1">
      <alignment horizontal="left" vertical="center"/>
      <protection locked="0"/>
    </xf>
    <xf numFmtId="4" fontId="0" fillId="35" borderId="52" xfId="15" applyNumberFormat="1" applyFont="1" applyFill="1" applyBorder="1" applyAlignment="1" applyProtection="1">
      <alignment horizontal="right"/>
      <protection locked="0"/>
    </xf>
    <xf numFmtId="4" fontId="0" fillId="35" borderId="47" xfId="15" applyNumberFormat="1" applyFont="1" applyFill="1" applyBorder="1" applyAlignment="1" applyProtection="1">
      <alignment/>
      <protection locked="0"/>
    </xf>
    <xf numFmtId="4" fontId="0" fillId="35" borderId="51" xfId="15" applyNumberFormat="1" applyFont="1" applyFill="1" applyBorder="1" applyAlignment="1" applyProtection="1">
      <alignment/>
      <protection locked="0"/>
    </xf>
    <xf numFmtId="0" fontId="0" fillId="2" borderId="38" xfId="15" applyFont="1" applyBorder="1" applyAlignment="1" applyProtection="1">
      <alignment horizontal="center"/>
      <protection locked="0"/>
    </xf>
    <xf numFmtId="0" fontId="0" fillId="2" borderId="53" xfId="15" applyFont="1" applyBorder="1" applyAlignment="1" applyProtection="1">
      <alignment/>
      <protection locked="0"/>
    </xf>
    <xf numFmtId="4" fontId="0" fillId="35" borderId="37" xfId="15" applyNumberFormat="1" applyFont="1" applyFill="1" applyBorder="1" applyAlignment="1" applyProtection="1">
      <alignment/>
      <protection locked="0"/>
    </xf>
    <xf numFmtId="4" fontId="0" fillId="2" borderId="47" xfId="15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2" borderId="54" xfId="15" applyFont="1" applyBorder="1" applyAlignment="1" applyProtection="1">
      <alignment horizontal="center"/>
      <protection locked="0"/>
    </xf>
    <xf numFmtId="0" fontId="0" fillId="2" borderId="55" xfId="15" applyFont="1" applyBorder="1" applyAlignment="1" applyProtection="1">
      <alignment/>
      <protection locked="0"/>
    </xf>
    <xf numFmtId="4" fontId="0" fillId="35" borderId="56" xfId="15" applyNumberFormat="1" applyFont="1" applyFill="1" applyBorder="1" applyAlignment="1" applyProtection="1">
      <alignment horizontal="right"/>
      <protection locked="0"/>
    </xf>
    <xf numFmtId="0" fontId="34" fillId="0" borderId="0" xfId="55" applyFont="1" applyFill="1" applyBorder="1" applyAlignment="1" applyProtection="1">
      <alignment/>
      <protection locked="0"/>
    </xf>
    <xf numFmtId="0" fontId="0" fillId="2" borderId="57" xfId="15" applyFont="1" applyBorder="1" applyAlignment="1" applyProtection="1">
      <alignment horizontal="center" vertical="center"/>
      <protection locked="0"/>
    </xf>
    <xf numFmtId="0" fontId="0" fillId="2" borderId="58" xfId="15" applyFont="1" applyBorder="1" applyAlignment="1" applyProtection="1">
      <alignment horizontal="center" vertical="center"/>
      <protection locked="0"/>
    </xf>
    <xf numFmtId="0" fontId="0" fillId="0" borderId="58" xfId="15" applyFont="1" applyFill="1" applyBorder="1" applyAlignment="1" applyProtection="1">
      <alignment horizontal="center" vertical="center"/>
      <protection locked="0"/>
    </xf>
    <xf numFmtId="0" fontId="0" fillId="0" borderId="59" xfId="15" applyFont="1" applyFill="1" applyBorder="1" applyAlignment="1" applyProtection="1">
      <alignment horizontal="center" vertical="center"/>
      <protection locked="0"/>
    </xf>
    <xf numFmtId="0" fontId="0" fillId="2" borderId="45" xfId="15" applyFont="1" applyBorder="1" applyAlignment="1" applyProtection="1">
      <alignment horizontal="center" vertical="center"/>
      <protection locked="0"/>
    </xf>
    <xf numFmtId="0" fontId="0" fillId="2" borderId="34" xfId="15" applyFont="1" applyBorder="1" applyAlignment="1" applyProtection="1">
      <alignment horizontal="left" vertical="center" wrapText="1"/>
      <protection locked="0"/>
    </xf>
    <xf numFmtId="4" fontId="0" fillId="0" borderId="34" xfId="15" applyNumberFormat="1" applyFont="1" applyFill="1" applyBorder="1" applyAlignment="1" applyProtection="1">
      <alignment horizontal="center" vertical="center"/>
      <protection locked="0"/>
    </xf>
    <xf numFmtId="3" fontId="0" fillId="0" borderId="34" xfId="15" applyNumberFormat="1" applyFont="1" applyFill="1" applyBorder="1" applyAlignment="1" applyProtection="1">
      <alignment horizontal="center" vertical="center"/>
      <protection locked="0"/>
    </xf>
    <xf numFmtId="3" fontId="0" fillId="0" borderId="60" xfId="15" applyNumberFormat="1" applyFont="1" applyFill="1" applyBorder="1" applyAlignment="1" applyProtection="1">
      <alignment horizontal="center" vertical="center"/>
      <protection locked="0"/>
    </xf>
    <xf numFmtId="0" fontId="0" fillId="2" borderId="34" xfId="15" applyFont="1" applyBorder="1" applyAlignment="1" applyProtection="1">
      <alignment horizontal="left" vertical="center"/>
      <protection locked="0"/>
    </xf>
    <xf numFmtId="4" fontId="0" fillId="2" borderId="34" xfId="15" applyNumberFormat="1" applyFont="1" applyFill="1" applyBorder="1" applyAlignment="1" applyProtection="1">
      <alignment horizontal="center" vertical="center"/>
      <protection/>
    </xf>
    <xf numFmtId="4" fontId="0" fillId="2" borderId="60" xfId="15" applyNumberFormat="1" applyFont="1" applyFill="1" applyBorder="1" applyAlignment="1" applyProtection="1">
      <alignment horizontal="center" vertical="center"/>
      <protection/>
    </xf>
    <xf numFmtId="4" fontId="0" fillId="0" borderId="60" xfId="15" applyNumberFormat="1" applyFont="1" applyFill="1" applyBorder="1" applyAlignment="1" applyProtection="1">
      <alignment horizontal="center" vertical="center"/>
      <protection locked="0"/>
    </xf>
    <xf numFmtId="4" fontId="0" fillId="38" borderId="34" xfId="15" applyNumberFormat="1" applyFont="1" applyFill="1" applyBorder="1" applyAlignment="1" applyProtection="1">
      <alignment horizontal="center" vertical="center"/>
      <protection/>
    </xf>
    <xf numFmtId="0" fontId="0" fillId="38" borderId="34" xfId="15" applyFont="1" applyFill="1" applyBorder="1" applyAlignment="1" applyProtection="1">
      <alignment horizontal="left" vertical="center"/>
      <protection locked="0"/>
    </xf>
    <xf numFmtId="0" fontId="0" fillId="2" borderId="54" xfId="15" applyFont="1" applyBorder="1" applyAlignment="1" applyProtection="1">
      <alignment horizontal="center" vertical="center"/>
      <protection locked="0"/>
    </xf>
    <xf numFmtId="0" fontId="0" fillId="2" borderId="61" xfId="15" applyFont="1" applyBorder="1" applyAlignment="1" applyProtection="1">
      <alignment horizontal="left" vertical="center"/>
      <protection locked="0"/>
    </xf>
    <xf numFmtId="4" fontId="0" fillId="0" borderId="61" xfId="15" applyNumberFormat="1" applyFont="1" applyFill="1" applyBorder="1" applyAlignment="1" applyProtection="1">
      <alignment horizontal="center" vertical="center"/>
      <protection locked="0"/>
    </xf>
    <xf numFmtId="4" fontId="0" fillId="0" borderId="62" xfId="15" applyNumberFormat="1" applyFont="1" applyFill="1" applyBorder="1" applyAlignment="1" applyProtection="1">
      <alignment horizontal="center" vertical="center"/>
      <protection locked="0"/>
    </xf>
    <xf numFmtId="0" fontId="0" fillId="4" borderId="37" xfId="17" applyFont="1" applyBorder="1" applyAlignment="1" applyProtection="1">
      <alignment horizontal="center" vertical="center"/>
      <protection locked="0"/>
    </xf>
    <xf numFmtId="0" fontId="0" fillId="4" borderId="37" xfId="17" applyFont="1" applyBorder="1" applyAlignment="1" applyProtection="1">
      <alignment horizontal="left" vertical="center" wrapText="1"/>
      <protection locked="0"/>
    </xf>
    <xf numFmtId="4" fontId="0" fillId="4" borderId="37" xfId="17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4" fontId="58" fillId="32" borderId="63" xfId="64" applyNumberFormat="1" applyFont="1" applyBorder="1" applyAlignment="1" applyProtection="1">
      <alignment horizontal="center" vertical="center"/>
      <protection locked="0"/>
    </xf>
    <xf numFmtId="0" fontId="0" fillId="2" borderId="64" xfId="15" applyFont="1" applyBorder="1" applyAlignment="1" applyProtection="1">
      <alignment horizontal="center" vertical="center"/>
      <protection locked="0"/>
    </xf>
    <xf numFmtId="2" fontId="0" fillId="2" borderId="34" xfId="15" applyNumberFormat="1" applyFont="1" applyBorder="1" applyAlignment="1" applyProtection="1">
      <alignment horizontal="left" vertical="center" wrapText="1"/>
      <protection locked="0"/>
    </xf>
    <xf numFmtId="4" fontId="0" fillId="0" borderId="65" xfId="15" applyNumberFormat="1" applyFont="1" applyFill="1" applyBorder="1" applyAlignment="1" applyProtection="1">
      <alignment horizontal="center" vertical="center"/>
      <protection locked="0"/>
    </xf>
    <xf numFmtId="3" fontId="0" fillId="0" borderId="65" xfId="15" applyNumberFormat="1" applyFont="1" applyFill="1" applyBorder="1" applyAlignment="1" applyProtection="1">
      <alignment horizontal="center" vertical="center"/>
      <protection locked="0"/>
    </xf>
    <xf numFmtId="0" fontId="0" fillId="2" borderId="66" xfId="15" applyFont="1" applyBorder="1" applyAlignment="1" applyProtection="1">
      <alignment horizontal="center" vertical="center"/>
      <protection locked="0"/>
    </xf>
    <xf numFmtId="2" fontId="0" fillId="2" borderId="10" xfId="15" applyNumberFormat="1" applyFont="1" applyBorder="1" applyAlignment="1" applyProtection="1">
      <alignment horizontal="left" vertical="center" wrapText="1"/>
      <protection locked="0"/>
    </xf>
    <xf numFmtId="4" fontId="0" fillId="0" borderId="67" xfId="15" applyNumberFormat="1" applyFont="1" applyFill="1" applyBorder="1" applyAlignment="1" applyProtection="1">
      <alignment horizontal="center" vertical="center"/>
      <protection locked="0"/>
    </xf>
    <xf numFmtId="0" fontId="0" fillId="4" borderId="38" xfId="17" applyFont="1" applyBorder="1" applyAlignment="1" applyProtection="1">
      <alignment horizontal="center" vertical="center"/>
      <protection locked="0"/>
    </xf>
    <xf numFmtId="0" fontId="0" fillId="4" borderId="37" xfId="17" applyFont="1" applyBorder="1" applyAlignment="1" applyProtection="1">
      <alignment horizontal="left" vertical="center"/>
      <protection locked="0"/>
    </xf>
    <xf numFmtId="4" fontId="0" fillId="4" borderId="39" xfId="17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 vertical="center"/>
      <protection locked="0"/>
    </xf>
    <xf numFmtId="0" fontId="0" fillId="2" borderId="68" xfId="15" applyFont="1" applyBorder="1" applyAlignment="1" applyProtection="1">
      <alignment horizontal="center" vertical="center"/>
      <protection locked="0"/>
    </xf>
    <xf numFmtId="2" fontId="0" fillId="2" borderId="17" xfId="15" applyNumberFormat="1" applyFont="1" applyBorder="1" applyAlignment="1" applyProtection="1">
      <alignment horizontal="left" vertical="center" wrapText="1"/>
      <protection locked="0"/>
    </xf>
    <xf numFmtId="4" fontId="0" fillId="0" borderId="69" xfId="15" applyNumberFormat="1" applyFont="1" applyFill="1" applyBorder="1" applyAlignment="1" applyProtection="1">
      <alignment horizontal="center" vertical="center"/>
      <protection locked="0"/>
    </xf>
    <xf numFmtId="0" fontId="0" fillId="2" borderId="70" xfId="15" applyFont="1" applyBorder="1" applyAlignment="1" applyProtection="1">
      <alignment horizontal="center" vertical="center"/>
      <protection locked="0"/>
    </xf>
    <xf numFmtId="2" fontId="0" fillId="2" borderId="16" xfId="15" applyNumberFormat="1" applyFont="1" applyBorder="1" applyAlignment="1" applyProtection="1">
      <alignment horizontal="left" vertical="center" wrapText="1"/>
      <protection locked="0"/>
    </xf>
    <xf numFmtId="4" fontId="0" fillId="0" borderId="71" xfId="15" applyNumberFormat="1" applyFont="1" applyFill="1" applyBorder="1" applyAlignment="1" applyProtection="1">
      <alignment horizontal="center" vertical="center"/>
      <protection locked="0"/>
    </xf>
    <xf numFmtId="0" fontId="0" fillId="4" borderId="72" xfId="17" applyFont="1" applyBorder="1" applyAlignment="1" applyProtection="1">
      <alignment horizontal="center" vertical="center"/>
      <protection locked="0"/>
    </xf>
    <xf numFmtId="4" fontId="0" fillId="4" borderId="73" xfId="17" applyNumberFormat="1" applyFont="1" applyBorder="1" applyAlignment="1" applyProtection="1">
      <alignment horizontal="center" vertical="center"/>
      <protection/>
    </xf>
    <xf numFmtId="0" fontId="28" fillId="0" borderId="0" xfId="55" applyFont="1" applyAlignment="1" applyProtection="1">
      <alignment horizontal="center" vertical="center"/>
      <protection locked="0"/>
    </xf>
    <xf numFmtId="0" fontId="28" fillId="0" borderId="74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Border="1" applyAlignment="1" applyProtection="1">
      <alignment horizontal="center" vertical="center"/>
      <protection locked="0"/>
    </xf>
    <xf numFmtId="0" fontId="35" fillId="0" borderId="0" xfId="53" applyFont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center" vertical="center"/>
      <protection locked="0"/>
    </xf>
    <xf numFmtId="0" fontId="0" fillId="2" borderId="46" xfId="15" applyFont="1" applyBorder="1" applyAlignment="1" applyProtection="1">
      <alignment/>
      <protection locked="0"/>
    </xf>
    <xf numFmtId="0" fontId="0" fillId="2" borderId="50" xfId="15" applyFont="1" applyBorder="1" applyAlignment="1" applyProtection="1">
      <alignment/>
      <protection locked="0"/>
    </xf>
    <xf numFmtId="0" fontId="0" fillId="2" borderId="34" xfId="15" applyFont="1" applyBorder="1" applyAlignment="1" applyProtection="1">
      <alignment horizontal="left" vertical="center"/>
      <protection locked="0"/>
    </xf>
    <xf numFmtId="0" fontId="0" fillId="34" borderId="14" xfId="52" applyNumberFormat="1" applyFont="1" applyFill="1" applyBorder="1" applyProtection="1">
      <alignment/>
      <protection/>
    </xf>
    <xf numFmtId="0" fontId="0" fillId="37" borderId="30" xfId="52" applyFont="1" applyFill="1" applyBorder="1" applyProtection="1">
      <alignment/>
      <protection/>
    </xf>
    <xf numFmtId="0" fontId="0" fillId="37" borderId="30" xfId="52" applyFont="1" applyFill="1" applyBorder="1" applyAlignment="1" applyProtection="1">
      <alignment horizontal="left"/>
      <protection/>
    </xf>
    <xf numFmtId="9" fontId="0" fillId="37" borderId="30" xfId="59" applyFont="1" applyFill="1" applyBorder="1" applyAlignment="1" applyProtection="1">
      <alignment horizontal="left"/>
      <protection/>
    </xf>
    <xf numFmtId="0" fontId="0" fillId="37" borderId="75" xfId="52" applyFont="1" applyFill="1" applyBorder="1" applyAlignment="1" applyProtection="1">
      <alignment horizontal="left"/>
      <protection/>
    </xf>
    <xf numFmtId="0" fontId="0" fillId="37" borderId="30" xfId="52" applyFont="1" applyFill="1" applyBorder="1" applyProtection="1">
      <alignment/>
      <protection/>
    </xf>
    <xf numFmtId="0" fontId="0" fillId="2" borderId="38" xfId="15" applyFont="1" applyBorder="1" applyAlignment="1" applyProtection="1">
      <alignment horizontal="left" wrapText="1"/>
      <protection locked="0"/>
    </xf>
    <xf numFmtId="0" fontId="0" fillId="2" borderId="39" xfId="15" applyFont="1" applyBorder="1" applyAlignment="1" applyProtection="1">
      <alignment horizontal="left" wrapText="1"/>
      <protection locked="0"/>
    </xf>
    <xf numFmtId="0" fontId="36" fillId="0" borderId="0" xfId="55" applyFont="1" applyFill="1" applyBorder="1" applyAlignment="1" applyProtection="1">
      <alignment horizontal="center" vertical="center"/>
      <protection locked="0"/>
    </xf>
    <xf numFmtId="0" fontId="58" fillId="32" borderId="76" xfId="64" applyFont="1" applyBorder="1" applyAlignment="1" applyProtection="1">
      <alignment horizontal="center" vertical="center"/>
      <protection locked="0"/>
    </xf>
    <xf numFmtId="0" fontId="58" fillId="32" borderId="56" xfId="64" applyFont="1" applyBorder="1" applyAlignment="1" applyProtection="1">
      <alignment horizontal="center" vertical="center"/>
      <protection locked="0"/>
    </xf>
    <xf numFmtId="0" fontId="58" fillId="32" borderId="76" xfId="64" applyFont="1" applyBorder="1" applyAlignment="1" applyProtection="1">
      <alignment horizontal="center" vertical="center" wrapText="1"/>
      <protection locked="0"/>
    </xf>
    <xf numFmtId="0" fontId="58" fillId="32" borderId="56" xfId="64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.00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6E0E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noFill/>
              <a:ln w="3175">
                <a:noFill/>
              </a:ln>
            </c:spPr>
          </c:dPt>
          <c:val>
            <c:numLit>
              <c:ptCount val="5"/>
              <c:pt idx="0">
                <c:v>-100000000</c:v>
              </c:pt>
              <c:pt idx="1">
                <c:v>0</c:v>
              </c:pt>
              <c:pt idx="2">
                <c:v>400000000</c:v>
              </c:pt>
              <c:pt idx="3">
                <c:v>500000000</c:v>
              </c:pt>
              <c:pt idx="4">
                <c:v>1000000000</c:v>
              </c:pt>
            </c:numLit>
          </c:val>
        </c:ser>
        <c:firstSliceAng val="270"/>
        <c:holeSize val="81"/>
      </c:doughnutChart>
      <c:pieChart>
        <c:varyColors val="1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noFill/>
              <a:ln w="3175">
                <a:noFill/>
              </a:ln>
            </c:spPr>
          </c:dPt>
          <c:val>
            <c:numRef>
              <c:f>Отчет!$K$34:$K$36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5</xdr:row>
      <xdr:rowOff>9525</xdr:rowOff>
    </xdr:from>
    <xdr:to>
      <xdr:col>13</xdr:col>
      <xdr:colOff>114300</xdr:colOff>
      <xdr:row>17</xdr:row>
      <xdr:rowOff>0</xdr:rowOff>
    </xdr:to>
    <xdr:grpSp>
      <xdr:nvGrpSpPr>
        <xdr:cNvPr id="1" name="Группа 23"/>
        <xdr:cNvGrpSpPr>
          <a:grpSpLocks/>
        </xdr:cNvGrpSpPr>
      </xdr:nvGrpSpPr>
      <xdr:grpSpPr>
        <a:xfrm>
          <a:off x="10210800" y="1009650"/>
          <a:ext cx="3933825" cy="2390775"/>
          <a:chOff x="2337766" y="7084313"/>
          <a:chExt cx="3333481" cy="2088261"/>
        </a:xfrm>
        <a:solidFill>
          <a:srgbClr val="FFFFFF"/>
        </a:solidFill>
      </xdr:grpSpPr>
      <xdr:graphicFrame>
        <xdr:nvGraphicFramePr>
          <xdr:cNvPr id="2" name="Диаграмма 24"/>
          <xdr:cNvGraphicFramePr/>
        </xdr:nvGraphicFramePr>
        <xdr:xfrm>
          <a:off x="3116967" y="7350566"/>
          <a:ext cx="1805080" cy="18220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Группа 25"/>
          <xdr:cNvGrpSpPr>
            <a:grpSpLocks/>
          </xdr:cNvGrpSpPr>
        </xdr:nvGrpSpPr>
        <xdr:grpSpPr>
          <a:xfrm>
            <a:off x="2337766" y="7084313"/>
            <a:ext cx="3333481" cy="1219544"/>
            <a:chOff x="1575765" y="6923050"/>
            <a:chExt cx="1737360" cy="619069"/>
          </a:xfrm>
          <a:solidFill>
            <a:srgbClr val="FFFFFF"/>
          </a:solidFill>
        </xdr:grpSpPr>
        <xdr:sp textlink="$J$34">
          <xdr:nvSpPr>
            <xdr:cNvPr id="4" name="TextBox 31"/>
            <xdr:cNvSpPr txBox="1">
              <a:spLocks noChangeArrowheads="1"/>
            </xdr:cNvSpPr>
          </xdr:nvSpPr>
          <xdr:spPr>
            <a:xfrm>
              <a:off x="1575765" y="7408864"/>
              <a:ext cx="412189" cy="1351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fld id="{74a17083-33d8-4abb-90d0-112ff12d13a6}" type="TxLink">
                <a:rPr lang="en-US" cap="none" sz="1200" b="0" i="0" u="none" baseline="0">
                  <a:solidFill>
                    <a:srgbClr val="993300"/>
                  </a:solidFill>
                </a:rPr>
                <a:t>-100 000 000</a:t>
              </a:fld>
            </a:p>
          </xdr:txBody>
        </xdr:sp>
        <xdr:sp textlink="$J$37">
          <xdr:nvSpPr>
            <xdr:cNvPr id="5" name="TextBox 32"/>
            <xdr:cNvSpPr txBox="1">
              <a:spLocks noChangeArrowheads="1"/>
            </xdr:cNvSpPr>
          </xdr:nvSpPr>
          <xdr:spPr>
            <a:xfrm>
              <a:off x="2236396" y="6923050"/>
              <a:ext cx="441724" cy="1140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fld id="{18a1ddb7-da6b-4647-bad9-3b715638ada8}" type="TxLink">
                <a:rPr lang="en-US" cap="none" sz="1200" b="0" i="0" u="none" baseline="0">
                  <a:solidFill>
                    <a:srgbClr val="0066CC"/>
                  </a:solidFill>
                </a:rPr>
                <a:t>500 000 000</a:t>
              </a:fld>
            </a:p>
          </xdr:txBody>
        </xdr:sp>
        <xdr:sp textlink="$J$38">
          <xdr:nvSpPr>
            <xdr:cNvPr id="6" name="TextBox 33"/>
            <xdr:cNvSpPr txBox="1">
              <a:spLocks noChangeArrowheads="1"/>
            </xdr:cNvSpPr>
          </xdr:nvSpPr>
          <xdr:spPr>
            <a:xfrm>
              <a:off x="2858805" y="7425734"/>
              <a:ext cx="454320" cy="1013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r">
                <a:defRPr/>
              </a:pPr>
              <a:fld id="{f62ce99c-843a-4254-8cf8-e0f7c12bf19d}" type="TxLink">
                <a:rPr lang="en-US" cap="none" sz="1200" b="0" i="0" u="none" baseline="0">
                  <a:solidFill>
                    <a:srgbClr val="008000"/>
                  </a:solidFill>
                </a:rPr>
                <a:t>1 000 000 000</a:t>
              </a:fld>
            </a:p>
          </xdr:txBody>
        </xdr:sp>
      </xdr:grpSp>
      <xdr:sp>
        <xdr:nvSpPr>
          <xdr:cNvPr id="7" name="Овал 26"/>
          <xdr:cNvSpPr>
            <a:spLocks/>
          </xdr:cNvSpPr>
        </xdr:nvSpPr>
        <xdr:spPr>
          <a:xfrm>
            <a:off x="3895335" y="8174385"/>
            <a:ext cx="185842" cy="199429"/>
          </a:xfrm>
          <a:prstGeom prst="ellipse">
            <a:avLst/>
          </a:prstGeom>
          <a:gradFill rotWithShape="1">
            <a:gsLst>
              <a:gs pos="0">
                <a:srgbClr val="9AB5E4"/>
              </a:gs>
              <a:gs pos="59000">
                <a:srgbClr val="C2D1ED"/>
              </a:gs>
              <a:gs pos="100000">
                <a:srgbClr val="E1E8F5"/>
              </a:gs>
            </a:gsLst>
            <a:lin ang="5400000" scaled="1"/>
          </a:gra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Арка 27"/>
          <xdr:cNvSpPr>
            <a:spLocks/>
          </xdr:cNvSpPr>
        </xdr:nvSpPr>
        <xdr:spPr>
          <a:xfrm flipV="1">
            <a:off x="3831165" y="8124267"/>
            <a:ext cx="322514" cy="308018"/>
          </a:xfrm>
          <a:custGeom>
            <a:pathLst>
              <a:path h="307831" w="322855">
                <a:moveTo>
                  <a:pt x="0" y="153915"/>
                </a:moveTo>
                <a:lnTo>
                  <a:pt x="0" y="-1"/>
                </a:lnTo>
                <a:close/>
              </a:path>
            </a:pathLst>
          </a:custGeom>
          <a:solidFill>
            <a:srgbClr val="4F81BD"/>
          </a:solidFill>
          <a:ln w="1270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Прямая соединительная линия 28"/>
          <xdr:cNvSpPr>
            <a:spLocks/>
          </xdr:cNvSpPr>
        </xdr:nvSpPr>
        <xdr:spPr>
          <a:xfrm flipV="1">
            <a:off x="4153680" y="8282453"/>
            <a:ext cx="1114216" cy="0"/>
          </a:xfrm>
          <a:prstGeom prst="line">
            <a:avLst/>
          </a:prstGeom>
          <a:noFill/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Прямая соединительная линия 29"/>
          <xdr:cNvSpPr>
            <a:spLocks/>
          </xdr:cNvSpPr>
        </xdr:nvSpPr>
        <xdr:spPr>
          <a:xfrm flipV="1">
            <a:off x="2716949" y="8282453"/>
            <a:ext cx="1114216" cy="0"/>
          </a:xfrm>
          <a:prstGeom prst="line">
            <a:avLst/>
          </a:prstGeom>
          <a:noFill/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textlink="$E$22">
        <xdr:nvSpPr>
          <xdr:cNvPr id="11" name="TextBox 30"/>
          <xdr:cNvSpPr txBox="1">
            <a:spLocks noChangeArrowheads="1"/>
          </xdr:cNvSpPr>
        </xdr:nvSpPr>
        <xdr:spPr>
          <a:xfrm>
            <a:off x="3257807" y="8515294"/>
            <a:ext cx="1476732" cy="241194"/>
          </a:xfrm>
          <a:prstGeom prst="rect">
            <a:avLst/>
          </a:prstGeom>
          <a:gradFill rotWithShape="1">
            <a:gsLst>
              <a:gs pos="0">
                <a:srgbClr val="FFEFD1"/>
              </a:gs>
              <a:gs pos="64999">
                <a:srgbClr val="F0EBD5"/>
              </a:gs>
              <a:gs pos="100000">
                <a:srgbClr val="D1C39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1b69d12c-9c92-43dd-90c4-4114e7d4c625}" type="TxLink">
              <a:rPr lang="en-US" cap="none" sz="1800" b="0" i="0" u="none" baseline="0">
                <a:solidFill>
                  <a:srgbClr val="993300"/>
                </a:solidFill>
              </a:rPr>
              <a:t>-86 566 961 </a:t>
            </a:fld>
          </a:p>
        </xdr:txBody>
      </xdr:sp>
    </xdr:grpSp>
    <xdr:clientData/>
  </xdr:twoCellAnchor>
  <xdr:oneCellAnchor>
    <xdr:from>
      <xdr:col>9</xdr:col>
      <xdr:colOff>85725</xdr:colOff>
      <xdr:row>15</xdr:row>
      <xdr:rowOff>152400</xdr:rowOff>
    </xdr:from>
    <xdr:ext cx="1162050" cy="257175"/>
    <xdr:sp>
      <xdr:nvSpPr>
        <xdr:cNvPr id="12" name="TextBox 34"/>
        <xdr:cNvSpPr txBox="1">
          <a:spLocks noChangeArrowheads="1"/>
        </xdr:cNvSpPr>
      </xdr:nvSpPr>
      <xdr:spPr>
        <a:xfrm>
          <a:off x="11506200" y="3152775"/>
          <a:ext cx="1162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Чистая прибыль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5"/>
  <sheetViews>
    <sheetView zoomScale="140" zoomScaleNormal="140" zoomScalePageLayoutView="0" workbookViewId="0" topLeftCell="A1">
      <selection activeCell="B5" sqref="B5:B6"/>
    </sheetView>
  </sheetViews>
  <sheetFormatPr defaultColWidth="9.140625" defaultRowHeight="15"/>
  <cols>
    <col min="1" max="1" width="2.140625" style="113" customWidth="1"/>
    <col min="2" max="2" width="7.28125" style="113" customWidth="1"/>
    <col min="3" max="3" width="42.140625" style="113" customWidth="1"/>
    <col min="4" max="5" width="21.00390625" style="113" customWidth="1"/>
    <col min="6" max="6" width="15.8515625" style="113" customWidth="1"/>
    <col min="7" max="7" width="13.8515625" style="113" bestFit="1" customWidth="1"/>
    <col min="8" max="8" width="14.421875" style="113" bestFit="1" customWidth="1"/>
    <col min="9" max="16384" width="9.140625" style="113" customWidth="1"/>
  </cols>
  <sheetData>
    <row r="1" ht="15.75">
      <c r="E1" s="153"/>
    </row>
    <row r="2" spans="2:5" ht="15.75">
      <c r="B2" s="110" t="s">
        <v>185</v>
      </c>
      <c r="C2" s="110"/>
      <c r="D2" s="213"/>
      <c r="E2" s="213"/>
    </row>
    <row r="3" spans="2:5" ht="15.75">
      <c r="B3" s="110" t="s">
        <v>186</v>
      </c>
      <c r="C3" s="110"/>
      <c r="D3" s="201"/>
      <c r="E3" s="201"/>
    </row>
    <row r="4" spans="2:5" ht="16.5" thickBot="1">
      <c r="B4" s="110"/>
      <c r="C4" s="110"/>
      <c r="D4" s="112"/>
      <c r="E4" s="112"/>
    </row>
    <row r="5" spans="2:5" ht="15" customHeight="1">
      <c r="B5" s="214" t="s">
        <v>71</v>
      </c>
      <c r="C5" s="214" t="s">
        <v>0</v>
      </c>
      <c r="D5" s="216" t="s">
        <v>1</v>
      </c>
      <c r="E5" s="216" t="s">
        <v>2</v>
      </c>
    </row>
    <row r="6" spans="2:8" ht="30" customHeight="1" thickBot="1">
      <c r="B6" s="215"/>
      <c r="C6" s="215"/>
      <c r="D6" s="217"/>
      <c r="E6" s="217"/>
      <c r="H6" s="110"/>
    </row>
    <row r="7" spans="2:5" ht="14.25" customHeight="1" thickBot="1">
      <c r="B7" s="114" t="s">
        <v>3</v>
      </c>
      <c r="C7" s="115">
        <v>2</v>
      </c>
      <c r="D7" s="114">
        <v>3</v>
      </c>
      <c r="E7" s="116" t="s">
        <v>4</v>
      </c>
    </row>
    <row r="8" spans="2:5" ht="15.75" thickBot="1">
      <c r="B8" s="211" t="s">
        <v>5</v>
      </c>
      <c r="C8" s="212"/>
      <c r="D8" s="117">
        <f>D9+D21+D27</f>
        <v>641026363.3700001</v>
      </c>
      <c r="E8" s="117">
        <f>E9+E21+E27</f>
        <v>710769992.27</v>
      </c>
    </row>
    <row r="9" spans="2:5" ht="15.75" thickBot="1">
      <c r="B9" s="118" t="s">
        <v>6</v>
      </c>
      <c r="C9" s="119" t="s">
        <v>7</v>
      </c>
      <c r="D9" s="120">
        <f>D10+D11+D15+D20</f>
        <v>152714009.37</v>
      </c>
      <c r="E9" s="121">
        <f>E10+E11+E15+E20</f>
        <v>193290792.95</v>
      </c>
    </row>
    <row r="10" spans="2:5" ht="15">
      <c r="B10" s="122" t="s">
        <v>8</v>
      </c>
      <c r="C10" s="123" t="s">
        <v>9</v>
      </c>
      <c r="D10" s="124">
        <v>390144.2399999999</v>
      </c>
      <c r="E10" s="124">
        <v>1554035.1500000001</v>
      </c>
    </row>
    <row r="11" spans="2:5" ht="15">
      <c r="B11" s="125" t="s">
        <v>10</v>
      </c>
      <c r="C11" s="126" t="s">
        <v>11</v>
      </c>
      <c r="D11" s="127">
        <f>D12+D13+D14</f>
        <v>85181668.83</v>
      </c>
      <c r="E11" s="127">
        <f>E12+E13+E14</f>
        <v>130312187.46999998</v>
      </c>
    </row>
    <row r="12" spans="2:8" ht="15">
      <c r="B12" s="125" t="s">
        <v>12</v>
      </c>
      <c r="C12" s="126" t="s">
        <v>13</v>
      </c>
      <c r="D12" s="128">
        <v>46872172.08</v>
      </c>
      <c r="E12" s="128">
        <v>47462346.76</v>
      </c>
      <c r="F12" s="129"/>
      <c r="G12" s="130"/>
      <c r="H12" s="130"/>
    </row>
    <row r="13" spans="2:7" ht="15">
      <c r="B13" s="125" t="s">
        <v>14</v>
      </c>
      <c r="C13" s="126" t="s">
        <v>15</v>
      </c>
      <c r="D13" s="128">
        <v>35714926.83</v>
      </c>
      <c r="E13" s="128">
        <v>60658740.54</v>
      </c>
      <c r="F13" s="131"/>
      <c r="G13" s="132"/>
    </row>
    <row r="14" spans="2:7" ht="15">
      <c r="B14" s="133" t="s">
        <v>16</v>
      </c>
      <c r="C14" s="126" t="s">
        <v>17</v>
      </c>
      <c r="D14" s="128">
        <v>2594569.92</v>
      </c>
      <c r="E14" s="128">
        <v>22191100.169999987</v>
      </c>
      <c r="F14" s="131"/>
      <c r="G14" s="132"/>
    </row>
    <row r="15" spans="2:7" ht="15">
      <c r="B15" s="125" t="s">
        <v>18</v>
      </c>
      <c r="C15" s="126" t="s">
        <v>19</v>
      </c>
      <c r="D15" s="134">
        <f>D16+D17+D19+D18</f>
        <v>66772196.3</v>
      </c>
      <c r="E15" s="134">
        <f>E16+E17+E19+E18</f>
        <v>61035578.70999999</v>
      </c>
      <c r="F15" s="132"/>
      <c r="G15" s="132"/>
    </row>
    <row r="16" spans="2:7" ht="15">
      <c r="B16" s="125" t="s">
        <v>20</v>
      </c>
      <c r="C16" s="126" t="s">
        <v>21</v>
      </c>
      <c r="D16" s="128">
        <v>45851257.72</v>
      </c>
      <c r="E16" s="128">
        <v>44890061.01</v>
      </c>
      <c r="F16" s="132"/>
      <c r="G16" s="132"/>
    </row>
    <row r="17" spans="2:7" ht="15">
      <c r="B17" s="125" t="s">
        <v>22</v>
      </c>
      <c r="C17" s="126" t="s">
        <v>23</v>
      </c>
      <c r="D17" s="128">
        <v>14879794.6</v>
      </c>
      <c r="E17" s="128">
        <v>9968054.11</v>
      </c>
      <c r="F17" s="132"/>
      <c r="G17" s="132"/>
    </row>
    <row r="18" spans="2:7" ht="15">
      <c r="B18" s="133" t="s">
        <v>24</v>
      </c>
      <c r="C18" s="202" t="s">
        <v>188</v>
      </c>
      <c r="D18" s="128">
        <v>1299953.3</v>
      </c>
      <c r="E18" s="128">
        <v>1063894.25</v>
      </c>
      <c r="F18" s="132"/>
      <c r="G18" s="132"/>
    </row>
    <row r="19" spans="2:7" ht="15">
      <c r="B19" s="125" t="s">
        <v>25</v>
      </c>
      <c r="C19" s="202" t="s">
        <v>189</v>
      </c>
      <c r="D19" s="135">
        <v>4741190.68</v>
      </c>
      <c r="E19" s="135">
        <v>5113569.34</v>
      </c>
      <c r="F19" s="136"/>
      <c r="G19" s="136"/>
    </row>
    <row r="20" spans="2:7" ht="15.75" thickBot="1">
      <c r="B20" s="137" t="s">
        <v>26</v>
      </c>
      <c r="C20" s="203" t="s">
        <v>190</v>
      </c>
      <c r="D20" s="139">
        <v>370000</v>
      </c>
      <c r="E20" s="139">
        <v>388991.62</v>
      </c>
      <c r="F20" s="136"/>
      <c r="G20" s="136"/>
    </row>
    <row r="21" spans="2:7" ht="15.75" thickBot="1">
      <c r="B21" s="118" t="s">
        <v>27</v>
      </c>
      <c r="C21" s="140" t="s">
        <v>28</v>
      </c>
      <c r="D21" s="120">
        <f>SUM(D22:D26)</f>
        <v>488312354.00000006</v>
      </c>
      <c r="E21" s="120">
        <f>SUM(E22:E26)</f>
        <v>435218725.65000004</v>
      </c>
      <c r="F21" s="136"/>
      <c r="G21" s="136"/>
    </row>
    <row r="22" spans="2:7" ht="15">
      <c r="B22" s="122" t="s">
        <v>29</v>
      </c>
      <c r="C22" s="141" t="s">
        <v>30</v>
      </c>
      <c r="D22" s="142">
        <v>1473655.6</v>
      </c>
      <c r="E22" s="142">
        <v>1473655.6</v>
      </c>
      <c r="F22" s="136"/>
      <c r="G22" s="136"/>
    </row>
    <row r="23" spans="2:7" ht="15">
      <c r="B23" s="125" t="s">
        <v>31</v>
      </c>
      <c r="C23" s="126" t="s">
        <v>32</v>
      </c>
      <c r="D23" s="128">
        <v>621412773.86</v>
      </c>
      <c r="E23" s="128">
        <v>618131373.78</v>
      </c>
      <c r="F23" s="136"/>
      <c r="G23" s="136"/>
    </row>
    <row r="24" spans="2:7" ht="15">
      <c r="B24" s="125" t="s">
        <v>33</v>
      </c>
      <c r="C24" s="126" t="s">
        <v>34</v>
      </c>
      <c r="D24" s="128">
        <v>-152160128.02</v>
      </c>
      <c r="E24" s="128">
        <v>-202204113.79</v>
      </c>
      <c r="F24" s="136"/>
      <c r="G24" s="136"/>
    </row>
    <row r="25" spans="2:7" ht="15">
      <c r="B25" s="125" t="s">
        <v>35</v>
      </c>
      <c r="C25" s="126" t="s">
        <v>36</v>
      </c>
      <c r="D25" s="143">
        <v>17586052.56</v>
      </c>
      <c r="E25" s="143">
        <v>17817810.06</v>
      </c>
      <c r="F25" s="136"/>
      <c r="G25" s="136"/>
    </row>
    <row r="26" spans="2:7" ht="15.75" thickBot="1">
      <c r="B26" s="137" t="s">
        <v>37</v>
      </c>
      <c r="C26" s="138" t="s">
        <v>38</v>
      </c>
      <c r="D26" s="144">
        <v>0</v>
      </c>
      <c r="E26" s="144">
        <v>0</v>
      </c>
      <c r="F26" s="136"/>
      <c r="G26" s="136"/>
    </row>
    <row r="27" spans="2:7" ht="15.75" thickBot="1">
      <c r="B27" s="145"/>
      <c r="C27" s="146" t="s">
        <v>39</v>
      </c>
      <c r="D27" s="147"/>
      <c r="E27" s="147">
        <v>82260473.67</v>
      </c>
      <c r="F27" s="136"/>
      <c r="G27" s="136"/>
    </row>
    <row r="28" spans="2:7" ht="15.75" thickBot="1">
      <c r="B28" s="211" t="s">
        <v>40</v>
      </c>
      <c r="C28" s="212"/>
      <c r="D28" s="117">
        <f>D29+D42</f>
        <v>641026363.37</v>
      </c>
      <c r="E28" s="117">
        <f>E29+E42</f>
        <v>710769992.27</v>
      </c>
      <c r="F28" s="136"/>
      <c r="G28" s="136"/>
    </row>
    <row r="29" spans="2:7" ht="15.75" thickBot="1">
      <c r="B29" s="118" t="s">
        <v>41</v>
      </c>
      <c r="C29" s="119" t="s">
        <v>42</v>
      </c>
      <c r="D29" s="120">
        <f>D30+D39</f>
        <v>669809082.89</v>
      </c>
      <c r="E29" s="120">
        <f>E30+E39</f>
        <v>740017816.8</v>
      </c>
      <c r="F29" s="136"/>
      <c r="G29" s="136"/>
    </row>
    <row r="30" spans="2:7" ht="15">
      <c r="B30" s="125" t="s">
        <v>43</v>
      </c>
      <c r="C30" s="126" t="s">
        <v>44</v>
      </c>
      <c r="D30" s="148">
        <f>D31+D32+D38</f>
        <v>584417850.01</v>
      </c>
      <c r="E30" s="148">
        <f>E31+E32+E38</f>
        <v>584550693.52</v>
      </c>
      <c r="F30" s="136"/>
      <c r="G30" s="136"/>
    </row>
    <row r="31" spans="2:7" ht="15">
      <c r="B31" s="125" t="s">
        <v>45</v>
      </c>
      <c r="C31" s="126" t="s">
        <v>46</v>
      </c>
      <c r="D31" s="128">
        <v>89198048.24</v>
      </c>
      <c r="E31" s="128">
        <v>122779449.64</v>
      </c>
      <c r="F31" s="136"/>
      <c r="G31" s="136"/>
    </row>
    <row r="32" spans="2:8" ht="15">
      <c r="B32" s="125" t="s">
        <v>47</v>
      </c>
      <c r="C32" s="126" t="s">
        <v>48</v>
      </c>
      <c r="D32" s="148">
        <f>SUM(D33:D37)</f>
        <v>495219801.77</v>
      </c>
      <c r="E32" s="148">
        <f>SUM(E33:E37)</f>
        <v>461771243.88</v>
      </c>
      <c r="F32" s="136"/>
      <c r="G32" s="136"/>
      <c r="H32" s="130"/>
    </row>
    <row r="33" spans="2:7" ht="15">
      <c r="B33" s="133" t="s">
        <v>49</v>
      </c>
      <c r="C33" s="126" t="s">
        <v>50</v>
      </c>
      <c r="D33" s="128">
        <v>314791921.37</v>
      </c>
      <c r="E33" s="128">
        <v>245001303.24</v>
      </c>
      <c r="F33" s="131"/>
      <c r="G33" s="149"/>
    </row>
    <row r="34" spans="2:7" ht="15">
      <c r="B34" s="125" t="s">
        <v>51</v>
      </c>
      <c r="C34" s="126" t="s">
        <v>52</v>
      </c>
      <c r="D34" s="143">
        <v>7709000.890000001</v>
      </c>
      <c r="E34" s="143">
        <v>7174562.199999999</v>
      </c>
      <c r="F34" s="132"/>
      <c r="G34" s="132"/>
    </row>
    <row r="35" spans="2:5" ht="15">
      <c r="B35" s="125" t="s">
        <v>53</v>
      </c>
      <c r="C35" s="126" t="s">
        <v>54</v>
      </c>
      <c r="D35" s="128">
        <v>5055564.82</v>
      </c>
      <c r="E35" s="128">
        <v>10243582.35</v>
      </c>
    </row>
    <row r="36" spans="2:6" ht="15">
      <c r="B36" s="125" t="s">
        <v>55</v>
      </c>
      <c r="C36" s="126" t="s">
        <v>56</v>
      </c>
      <c r="D36" s="128">
        <v>132331149.6</v>
      </c>
      <c r="E36" s="128">
        <v>199232740.83</v>
      </c>
      <c r="F36" s="129"/>
    </row>
    <row r="37" spans="2:6" ht="15">
      <c r="B37" s="125" t="s">
        <v>57</v>
      </c>
      <c r="C37" s="202" t="s">
        <v>191</v>
      </c>
      <c r="D37" s="128">
        <v>35332165.090000026</v>
      </c>
      <c r="E37" s="128">
        <v>119055.26</v>
      </c>
      <c r="F37" s="129"/>
    </row>
    <row r="38" spans="2:5" ht="15">
      <c r="B38" s="125" t="s">
        <v>58</v>
      </c>
      <c r="C38" s="202" t="s">
        <v>192</v>
      </c>
      <c r="D38" s="139">
        <v>0</v>
      </c>
      <c r="E38" s="139">
        <v>0</v>
      </c>
    </row>
    <row r="39" spans="2:5" ht="15">
      <c r="B39" s="125" t="s">
        <v>59</v>
      </c>
      <c r="C39" s="126" t="s">
        <v>60</v>
      </c>
      <c r="D39" s="148">
        <f>SUM(D40:D41)</f>
        <v>85391232.88</v>
      </c>
      <c r="E39" s="148">
        <f>SUM(E40:E41)</f>
        <v>155467123.28</v>
      </c>
    </row>
    <row r="40" spans="2:5" ht="15">
      <c r="B40" s="125" t="s">
        <v>61</v>
      </c>
      <c r="C40" s="126" t="s">
        <v>62</v>
      </c>
      <c r="D40" s="128">
        <v>85391232.88</v>
      </c>
      <c r="E40" s="128">
        <v>155467123.28</v>
      </c>
    </row>
    <row r="41" spans="2:5" ht="15.75" thickBot="1">
      <c r="B41" s="125" t="s">
        <v>63</v>
      </c>
      <c r="C41" s="126" t="s">
        <v>64</v>
      </c>
      <c r="D41" s="128"/>
      <c r="E41" s="128"/>
    </row>
    <row r="42" spans="2:5" ht="15.75" thickBot="1">
      <c r="B42" s="118" t="s">
        <v>65</v>
      </c>
      <c r="C42" s="140" t="s">
        <v>66</v>
      </c>
      <c r="D42" s="120">
        <f>SUM(D43:D44)</f>
        <v>-28782719.519999996</v>
      </c>
      <c r="E42" s="120">
        <f>SUM(E43:E44)</f>
        <v>-29247824.53</v>
      </c>
    </row>
    <row r="43" spans="2:5" ht="15">
      <c r="B43" s="122" t="s">
        <v>67</v>
      </c>
      <c r="C43" s="141" t="s">
        <v>68</v>
      </c>
      <c r="D43" s="124">
        <v>57784241</v>
      </c>
      <c r="E43" s="124">
        <v>57784241</v>
      </c>
    </row>
    <row r="44" spans="2:5" ht="15.75" thickBot="1">
      <c r="B44" s="150" t="s">
        <v>69</v>
      </c>
      <c r="C44" s="151" t="s">
        <v>70</v>
      </c>
      <c r="D44" s="152">
        <v>-86566960.52</v>
      </c>
      <c r="E44" s="152">
        <v>-87032065.53</v>
      </c>
    </row>
    <row r="47" spans="3:4" ht="15">
      <c r="C47" s="2"/>
      <c r="D47" s="130"/>
    </row>
    <row r="74" ht="15">
      <c r="E74" s="113">
        <f>23631.98+40000+185</f>
        <v>63816.979999999996</v>
      </c>
    </row>
    <row r="75" ht="15">
      <c r="E75" s="113">
        <f>101500+133548</f>
        <v>235048</v>
      </c>
    </row>
  </sheetData>
  <sheetProtection password="CF66" sheet="1"/>
  <mergeCells count="7">
    <mergeCell ref="B8:C8"/>
    <mergeCell ref="B28:C28"/>
    <mergeCell ref="D2:E2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F47"/>
  <sheetViews>
    <sheetView zoomScale="160" zoomScaleNormal="160" zoomScalePageLayoutView="0" workbookViewId="0" topLeftCell="A1">
      <selection activeCell="C15" sqref="C15"/>
    </sheetView>
  </sheetViews>
  <sheetFormatPr defaultColWidth="9.140625" defaultRowHeight="15"/>
  <cols>
    <col min="1" max="1" width="2.140625" style="113" customWidth="1"/>
    <col min="2" max="2" width="8.140625" style="113" customWidth="1"/>
    <col min="3" max="3" width="42.140625" style="113" customWidth="1"/>
    <col min="4" max="5" width="18.28125" style="113" customWidth="1"/>
    <col min="6" max="6" width="17.140625" style="113" customWidth="1"/>
    <col min="7" max="16384" width="9.140625" style="113" customWidth="1"/>
  </cols>
  <sheetData>
    <row r="2" ht="15.75">
      <c r="B2" s="110" t="s">
        <v>180</v>
      </c>
    </row>
    <row r="3" ht="15.75">
      <c r="B3" s="110" t="s">
        <v>187</v>
      </c>
    </row>
    <row r="4" spans="2:5" ht="15.75" thickBot="1">
      <c r="B4" s="111"/>
      <c r="C4" s="111"/>
      <c r="D4" s="112"/>
      <c r="E4" s="112"/>
    </row>
    <row r="5" spans="2:6" ht="12.75" customHeight="1">
      <c r="B5" s="214" t="s">
        <v>71</v>
      </c>
      <c r="C5" s="214" t="s">
        <v>0</v>
      </c>
      <c r="D5" s="216" t="s">
        <v>193</v>
      </c>
      <c r="E5" s="216" t="s">
        <v>194</v>
      </c>
      <c r="F5" s="216" t="s">
        <v>195</v>
      </c>
    </row>
    <row r="6" spans="2:6" ht="54" customHeight="1" thickBot="1">
      <c r="B6" s="215"/>
      <c r="C6" s="215"/>
      <c r="D6" s="217"/>
      <c r="E6" s="217"/>
      <c r="F6" s="217"/>
    </row>
    <row r="7" spans="2:6" ht="15">
      <c r="B7" s="154" t="s">
        <v>3</v>
      </c>
      <c r="C7" s="155">
        <v>2</v>
      </c>
      <c r="D7" s="156">
        <v>3</v>
      </c>
      <c r="E7" s="156">
        <v>4</v>
      </c>
      <c r="F7" s="157">
        <v>5</v>
      </c>
    </row>
    <row r="8" spans="2:6" ht="15">
      <c r="B8" s="158" t="s">
        <v>72</v>
      </c>
      <c r="C8" s="159" t="s">
        <v>73</v>
      </c>
      <c r="D8" s="160">
        <v>779237405</v>
      </c>
      <c r="E8" s="161">
        <v>472742328</v>
      </c>
      <c r="F8" s="162">
        <v>524687955</v>
      </c>
    </row>
    <row r="9" spans="2:6" ht="15">
      <c r="B9" s="158" t="s">
        <v>74</v>
      </c>
      <c r="C9" s="163" t="s">
        <v>75</v>
      </c>
      <c r="D9" s="160">
        <v>557319416.37</v>
      </c>
      <c r="E9" s="161">
        <v>256075968</v>
      </c>
      <c r="F9" s="162">
        <v>318955674</v>
      </c>
    </row>
    <row r="10" spans="2:6" ht="15">
      <c r="B10" s="158" t="s">
        <v>76</v>
      </c>
      <c r="C10" s="163" t="s">
        <v>181</v>
      </c>
      <c r="D10" s="164">
        <f>D8-D9</f>
        <v>221917988.63</v>
      </c>
      <c r="E10" s="164">
        <f>E8-E9</f>
        <v>216666360</v>
      </c>
      <c r="F10" s="165">
        <f>F8-F9</f>
        <v>205732281</v>
      </c>
    </row>
    <row r="11" spans="2:6" ht="15">
      <c r="B11" s="158" t="s">
        <v>77</v>
      </c>
      <c r="C11" s="163" t="s">
        <v>78</v>
      </c>
      <c r="D11" s="160">
        <v>86957294.2</v>
      </c>
      <c r="E11" s="161">
        <v>46984165.03</v>
      </c>
      <c r="F11" s="162">
        <v>72115899</v>
      </c>
    </row>
    <row r="12" spans="2:6" ht="15">
      <c r="B12" s="158" t="s">
        <v>79</v>
      </c>
      <c r="C12" s="163" t="s">
        <v>80</v>
      </c>
      <c r="D12" s="160">
        <v>29076818.6</v>
      </c>
      <c r="E12" s="161">
        <v>26798052.88</v>
      </c>
      <c r="F12" s="162">
        <v>61225809</v>
      </c>
    </row>
    <row r="13" spans="2:6" ht="15">
      <c r="B13" s="158" t="s">
        <v>81</v>
      </c>
      <c r="C13" s="204" t="s">
        <v>196</v>
      </c>
      <c r="D13" s="164">
        <f>D10-D11-D12</f>
        <v>105883875.83000001</v>
      </c>
      <c r="E13" s="164">
        <f>E10-E11-E12</f>
        <v>142884142.09</v>
      </c>
      <c r="F13" s="165">
        <f>F10-F11-F12</f>
        <v>72390573</v>
      </c>
    </row>
    <row r="14" spans="2:6" ht="15">
      <c r="B14" s="158" t="s">
        <v>82</v>
      </c>
      <c r="C14" s="163" t="s">
        <v>83</v>
      </c>
      <c r="D14" s="160">
        <v>152160128.02</v>
      </c>
      <c r="E14" s="161">
        <f>202204113.79</f>
        <v>202204113.79</v>
      </c>
      <c r="F14" s="162">
        <v>51660302</v>
      </c>
    </row>
    <row r="15" spans="2:6" ht="15">
      <c r="B15" s="158" t="s">
        <v>84</v>
      </c>
      <c r="C15" s="204" t="s">
        <v>197</v>
      </c>
      <c r="D15" s="164">
        <f>D13-D14</f>
        <v>-46276252.19</v>
      </c>
      <c r="E15" s="164">
        <f>E13-E14</f>
        <v>-59319971.69999999</v>
      </c>
      <c r="F15" s="165">
        <f>F13-F14</f>
        <v>20730271</v>
      </c>
    </row>
    <row r="16" spans="2:6" ht="15">
      <c r="B16" s="158" t="s">
        <v>85</v>
      </c>
      <c r="C16" s="163" t="s">
        <v>86</v>
      </c>
      <c r="D16" s="160">
        <v>10953675.99</v>
      </c>
      <c r="E16" s="160">
        <v>12495700</v>
      </c>
      <c r="F16" s="166">
        <v>8945662</v>
      </c>
    </row>
    <row r="17" spans="2:6" ht="15">
      <c r="B17" s="158" t="s">
        <v>87</v>
      </c>
      <c r="C17" s="163" t="s">
        <v>88</v>
      </c>
      <c r="D17" s="160">
        <v>32342050.89</v>
      </c>
      <c r="E17" s="160">
        <v>24510106.86</v>
      </c>
      <c r="F17" s="166">
        <v>16815772</v>
      </c>
    </row>
    <row r="18" spans="2:6" ht="15">
      <c r="B18" s="158" t="s">
        <v>89</v>
      </c>
      <c r="C18" s="163" t="s">
        <v>90</v>
      </c>
      <c r="D18" s="167">
        <f>D29</f>
        <v>16671873.870000003</v>
      </c>
      <c r="E18" s="167">
        <f>E29</f>
        <v>24057312</v>
      </c>
      <c r="F18" s="167">
        <f>F29</f>
        <v>16854901</v>
      </c>
    </row>
    <row r="19" spans="2:6" ht="15">
      <c r="B19" s="158" t="s">
        <v>91</v>
      </c>
      <c r="C19" s="168" t="s">
        <v>92</v>
      </c>
      <c r="D19" s="167">
        <f>D38</f>
        <v>34958833.260000005</v>
      </c>
      <c r="E19" s="167">
        <f>E38</f>
        <v>37773659</v>
      </c>
      <c r="F19" s="167">
        <f>F38</f>
        <v>41920155</v>
      </c>
    </row>
    <row r="20" spans="2:6" ht="15">
      <c r="B20" s="158" t="s">
        <v>93</v>
      </c>
      <c r="C20" s="163" t="s">
        <v>94</v>
      </c>
      <c r="D20" s="164">
        <f>D15+D16-D17+D18-D19</f>
        <v>-85951586.48</v>
      </c>
      <c r="E20" s="164">
        <f>E15+E16-E17+E18-E19</f>
        <v>-85050725.55999999</v>
      </c>
      <c r="F20" s="165">
        <f>F15+F16-F17+F18-F19</f>
        <v>-12205093</v>
      </c>
    </row>
    <row r="21" spans="2:6" ht="15.75" thickBot="1">
      <c r="B21" s="169" t="s">
        <v>95</v>
      </c>
      <c r="C21" s="170" t="s">
        <v>96</v>
      </c>
      <c r="D21" s="171">
        <v>615374.04</v>
      </c>
      <c r="E21" s="171">
        <v>1981339.97</v>
      </c>
      <c r="F21" s="172">
        <v>1659845</v>
      </c>
    </row>
    <row r="22" spans="2:6" ht="32.25" customHeight="1" thickBot="1">
      <c r="B22" s="173" t="s">
        <v>97</v>
      </c>
      <c r="C22" s="174" t="s">
        <v>98</v>
      </c>
      <c r="D22" s="175">
        <f>D20-D21</f>
        <v>-86566960.52000001</v>
      </c>
      <c r="E22" s="175">
        <f>E20-E21</f>
        <v>-87032065.52999999</v>
      </c>
      <c r="F22" s="175">
        <f>F20-F21</f>
        <v>-13864938</v>
      </c>
    </row>
    <row r="23" spans="2:6" ht="15.75">
      <c r="B23" s="197"/>
      <c r="C23" s="197"/>
      <c r="D23" s="198"/>
      <c r="E23" s="198"/>
      <c r="F23" s="176"/>
    </row>
    <row r="24" spans="2:6" ht="16.5" thickBot="1">
      <c r="B24" s="3" t="s">
        <v>99</v>
      </c>
      <c r="C24" s="199"/>
      <c r="D24" s="200"/>
      <c r="E24" s="200"/>
      <c r="F24" s="176"/>
    </row>
    <row r="25" spans="2:6" ht="15.75" thickBot="1">
      <c r="B25" s="115" t="s">
        <v>71</v>
      </c>
      <c r="C25" s="114" t="s">
        <v>100</v>
      </c>
      <c r="D25" s="177" t="s">
        <v>101</v>
      </c>
      <c r="E25" s="177" t="s">
        <v>101</v>
      </c>
      <c r="F25" s="177" t="s">
        <v>101</v>
      </c>
    </row>
    <row r="26" spans="2:6" ht="15">
      <c r="B26" s="178">
        <v>1</v>
      </c>
      <c r="C26" s="179" t="s">
        <v>102</v>
      </c>
      <c r="D26" s="180">
        <v>0</v>
      </c>
      <c r="E26" s="180">
        <v>0</v>
      </c>
      <c r="F26" s="180">
        <v>0</v>
      </c>
    </row>
    <row r="27" spans="2:6" ht="15">
      <c r="B27" s="178">
        <v>2</v>
      </c>
      <c r="C27" s="179" t="s">
        <v>103</v>
      </c>
      <c r="D27" s="180">
        <v>1318348.1</v>
      </c>
      <c r="E27" s="181">
        <v>4286701</v>
      </c>
      <c r="F27" s="181">
        <v>6024335</v>
      </c>
    </row>
    <row r="28" spans="2:6" ht="17.25" customHeight="1" thickBot="1">
      <c r="B28" s="182">
        <v>3</v>
      </c>
      <c r="C28" s="183" t="s">
        <v>104</v>
      </c>
      <c r="D28" s="184">
        <v>15353525.770000003</v>
      </c>
      <c r="E28" s="184">
        <v>19770611</v>
      </c>
      <c r="F28" s="184">
        <v>10830566</v>
      </c>
    </row>
    <row r="29" spans="2:6" ht="15.75" thickBot="1">
      <c r="B29" s="185"/>
      <c r="C29" s="186" t="s">
        <v>105</v>
      </c>
      <c r="D29" s="187">
        <f>SUM(D26:D28)</f>
        <v>16671873.870000003</v>
      </c>
      <c r="E29" s="187">
        <f>SUM(E26:E28)</f>
        <v>24057312</v>
      </c>
      <c r="F29" s="187">
        <f>SUM(F26:F28)</f>
        <v>16854901</v>
      </c>
    </row>
    <row r="30" spans="2:6" ht="15">
      <c r="B30" s="176"/>
      <c r="C30" s="176"/>
      <c r="D30" s="188"/>
      <c r="E30" s="188"/>
      <c r="F30" s="176"/>
    </row>
    <row r="31" spans="2:6" ht="16.5" thickBot="1">
      <c r="B31" s="4" t="s">
        <v>106</v>
      </c>
      <c r="C31" s="199"/>
      <c r="D31" s="200"/>
      <c r="E31" s="200"/>
      <c r="F31" s="176"/>
    </row>
    <row r="32" spans="2:6" ht="15.75" thickBot="1">
      <c r="B32" s="115" t="s">
        <v>71</v>
      </c>
      <c r="C32" s="114" t="s">
        <v>100</v>
      </c>
      <c r="D32" s="177" t="s">
        <v>101</v>
      </c>
      <c r="E32" s="177" t="s">
        <v>101</v>
      </c>
      <c r="F32" s="177" t="s">
        <v>101</v>
      </c>
    </row>
    <row r="33" spans="2:6" ht="15">
      <c r="B33" s="189">
        <v>1</v>
      </c>
      <c r="C33" s="179" t="s">
        <v>102</v>
      </c>
      <c r="D33" s="180">
        <v>0</v>
      </c>
      <c r="E33" s="180">
        <v>2899070</v>
      </c>
      <c r="F33" s="180">
        <v>1612305</v>
      </c>
    </row>
    <row r="34" spans="2:6" ht="15">
      <c r="B34" s="178">
        <v>2</v>
      </c>
      <c r="C34" s="179" t="s">
        <v>103</v>
      </c>
      <c r="D34" s="180">
        <v>948414.16</v>
      </c>
      <c r="E34" s="180">
        <v>4011304</v>
      </c>
      <c r="F34" s="180">
        <v>3055894</v>
      </c>
    </row>
    <row r="35" spans="2:6" ht="15">
      <c r="B35" s="178">
        <v>3</v>
      </c>
      <c r="C35" s="190" t="s">
        <v>107</v>
      </c>
      <c r="D35" s="191">
        <v>0</v>
      </c>
      <c r="E35" s="191">
        <v>8671954</v>
      </c>
      <c r="F35" s="191">
        <v>15998034</v>
      </c>
    </row>
    <row r="36" spans="2:6" ht="15">
      <c r="B36" s="178">
        <v>4</v>
      </c>
      <c r="C36" s="190" t="s">
        <v>108</v>
      </c>
      <c r="D36" s="180">
        <v>10849330.2</v>
      </c>
      <c r="E36" s="180">
        <v>3319405</v>
      </c>
      <c r="F36" s="180">
        <v>5021377</v>
      </c>
    </row>
    <row r="37" spans="2:6" ht="15.75" thickBot="1">
      <c r="B37" s="192">
        <v>5</v>
      </c>
      <c r="C37" s="193" t="s">
        <v>109</v>
      </c>
      <c r="D37" s="194">
        <v>23161088.900000002</v>
      </c>
      <c r="E37" s="194">
        <f>18871926</f>
        <v>18871926</v>
      </c>
      <c r="F37" s="194">
        <v>16232545</v>
      </c>
    </row>
    <row r="38" spans="2:6" ht="15.75" thickBot="1">
      <c r="B38" s="195"/>
      <c r="C38" s="186" t="s">
        <v>105</v>
      </c>
      <c r="D38" s="196">
        <f>SUM(D33:D37)</f>
        <v>34958833.260000005</v>
      </c>
      <c r="E38" s="196">
        <f>SUM(E33:E37)</f>
        <v>37773659</v>
      </c>
      <c r="F38" s="196">
        <f>SUM(F33:F37)</f>
        <v>41920155</v>
      </c>
    </row>
    <row r="39" spans="4:5" ht="15">
      <c r="D39" s="130"/>
      <c r="E39" s="130"/>
    </row>
    <row r="40" ht="15">
      <c r="C40" s="2"/>
    </row>
    <row r="42" spans="4:6" ht="15">
      <c r="D42" s="136"/>
      <c r="E42" s="136"/>
      <c r="F42" s="136"/>
    </row>
    <row r="43" spans="4:6" ht="15">
      <c r="D43" s="136"/>
      <c r="E43" s="136"/>
      <c r="F43" s="136"/>
    </row>
    <row r="44" spans="4:6" ht="15">
      <c r="D44" s="136"/>
      <c r="E44" s="136"/>
      <c r="F44" s="136"/>
    </row>
    <row r="45" spans="4:6" ht="15">
      <c r="D45" s="136"/>
      <c r="E45" s="136"/>
      <c r="F45" s="136"/>
    </row>
    <row r="46" spans="4:6" ht="15">
      <c r="D46" s="136"/>
      <c r="E46" s="136"/>
      <c r="F46" s="136"/>
    </row>
    <row r="47" spans="4:6" ht="15">
      <c r="D47" s="136"/>
      <c r="E47" s="136"/>
      <c r="F47" s="136"/>
    </row>
  </sheetData>
  <sheetProtection password="CF66" sheet="1"/>
  <mergeCells count="5"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B2:R108"/>
  <sheetViews>
    <sheetView tabSelected="1" zoomScalePageLayoutView="0" workbookViewId="0" topLeftCell="A1">
      <selection activeCell="B48" sqref="B48"/>
    </sheetView>
  </sheetViews>
  <sheetFormatPr defaultColWidth="9.140625" defaultRowHeight="15.75" customHeight="1" outlineLevelRow="1"/>
  <cols>
    <col min="1" max="1" width="3.140625" style="5" customWidth="1"/>
    <col min="2" max="2" width="39.28125" style="5" customWidth="1"/>
    <col min="3" max="3" width="15.28125" style="5" customWidth="1"/>
    <col min="4" max="4" width="15.57421875" style="5" customWidth="1"/>
    <col min="5" max="5" width="16.57421875" style="5" customWidth="1"/>
    <col min="6" max="6" width="47.57421875" style="5" customWidth="1"/>
    <col min="7" max="7" width="13.28125" style="5" customWidth="1"/>
    <col min="8" max="8" width="2.8515625" style="7" customWidth="1"/>
    <col min="9" max="9" width="17.7109375" style="7" customWidth="1"/>
    <col min="10" max="11" width="10.421875" style="7" customWidth="1"/>
    <col min="12" max="17" width="9.140625" style="7" customWidth="1"/>
    <col min="18" max="18" width="13.7109375" style="5" customWidth="1"/>
    <col min="19" max="16384" width="9.140625" style="5" customWidth="1"/>
  </cols>
  <sheetData>
    <row r="2" spans="2:9" ht="15.75" customHeight="1">
      <c r="B2" s="90" t="s">
        <v>178</v>
      </c>
      <c r="C2" s="6"/>
      <c r="D2" s="6"/>
      <c r="E2" s="6"/>
      <c r="F2" s="6"/>
      <c r="G2" s="6"/>
      <c r="I2" s="1"/>
    </row>
    <row r="3" spans="2:9" ht="15.75" customHeight="1" thickBot="1">
      <c r="B3" s="8" t="s">
        <v>110</v>
      </c>
      <c r="C3" s="9" t="s">
        <v>111</v>
      </c>
      <c r="D3" s="9" t="s">
        <v>112</v>
      </c>
      <c r="E3" s="9" t="s">
        <v>113</v>
      </c>
      <c r="F3" s="9" t="s">
        <v>114</v>
      </c>
      <c r="G3" s="10" t="s">
        <v>115</v>
      </c>
      <c r="I3" s="1"/>
    </row>
    <row r="4" spans="2:9" ht="15.75" customHeight="1" thickTop="1">
      <c r="B4" s="11" t="s">
        <v>116</v>
      </c>
      <c r="C4" s="12">
        <f>'Форма 1'!D33+'Форма 1'!D34</f>
        <v>322500922.26</v>
      </c>
      <c r="D4" s="12">
        <f>'Форма 1'!E33+'Форма 1'!E34</f>
        <v>252175865.44</v>
      </c>
      <c r="E4" s="13">
        <f>(('Форма 1'!E33+'Форма 1'!E34)*G4*G10*G11*G12)/100000000</f>
        <v>254697624.0944</v>
      </c>
      <c r="F4" s="13"/>
      <c r="G4" s="14">
        <v>100</v>
      </c>
      <c r="I4" s="1"/>
    </row>
    <row r="5" spans="2:17" s="15" customFormat="1" ht="15.75" customHeight="1">
      <c r="B5" s="16" t="s">
        <v>117</v>
      </c>
      <c r="C5" s="17">
        <f>'Форма 1'!D12</f>
        <v>46872172.08</v>
      </c>
      <c r="D5" s="17">
        <f>'Форма 1'!E11</f>
        <v>130312187.46999998</v>
      </c>
      <c r="E5" s="18">
        <f>('Форма 1'!E11*G5/G11/G12)*100</f>
        <v>129021967.7920792</v>
      </c>
      <c r="F5" s="18"/>
      <c r="G5" s="19">
        <v>100</v>
      </c>
      <c r="H5" s="7"/>
      <c r="I5" s="20"/>
      <c r="J5" s="21"/>
      <c r="K5" s="21"/>
      <c r="L5" s="21"/>
      <c r="M5" s="21"/>
      <c r="N5" s="21"/>
      <c r="O5" s="21"/>
      <c r="P5" s="21"/>
      <c r="Q5" s="21"/>
    </row>
    <row r="6" spans="2:7" ht="15.75" customHeight="1">
      <c r="B6" s="16" t="s">
        <v>118</v>
      </c>
      <c r="C6" s="17">
        <f>'Форма 1'!D31</f>
        <v>89198048.24</v>
      </c>
      <c r="D6" s="17">
        <f>'Форма 1'!E31</f>
        <v>122779449.64</v>
      </c>
      <c r="E6" s="18">
        <f>('Форма 1'!E31*G6*G10*G11)/1000000</f>
        <v>122779449.64</v>
      </c>
      <c r="F6" s="18"/>
      <c r="G6" s="19">
        <v>100</v>
      </c>
    </row>
    <row r="7" spans="2:7" ht="15.75" customHeight="1">
      <c r="B7" s="16" t="s">
        <v>119</v>
      </c>
      <c r="C7" s="17">
        <f>'Форма 1'!D39</f>
        <v>85391232.88</v>
      </c>
      <c r="D7" s="17">
        <f>'Форма 1'!E39</f>
        <v>155467123.28</v>
      </c>
      <c r="E7" s="18">
        <f>('Форма 1'!E39*G7*G10*G11)/1000000</f>
        <v>155467123.28</v>
      </c>
      <c r="F7" s="18"/>
      <c r="G7" s="19">
        <v>100</v>
      </c>
    </row>
    <row r="8" spans="2:7" ht="15.75" customHeight="1">
      <c r="B8" s="16" t="s">
        <v>120</v>
      </c>
      <c r="C8" s="17">
        <f>'Форма 1'!D36</f>
        <v>132331149.6</v>
      </c>
      <c r="D8" s="17">
        <f>'Форма 1'!E36</f>
        <v>199232740.83</v>
      </c>
      <c r="E8" s="18">
        <f>('Форма 1'!E36*G8*G11*G12)/1000000</f>
        <v>201225068.2383</v>
      </c>
      <c r="F8" s="18"/>
      <c r="G8" s="19">
        <v>100</v>
      </c>
    </row>
    <row r="9" spans="2:7" ht="15.75" customHeight="1">
      <c r="B9" s="16" t="s">
        <v>121</v>
      </c>
      <c r="C9" s="17">
        <f>'Форма 1'!D37</f>
        <v>35332165.090000026</v>
      </c>
      <c r="D9" s="17">
        <f>'Форма 1'!E37</f>
        <v>119055.26</v>
      </c>
      <c r="E9" s="18">
        <f>'Форма 1'!E37*G9*G10/10000</f>
        <v>119055.26</v>
      </c>
      <c r="F9" s="18"/>
      <c r="G9" s="19">
        <v>100</v>
      </c>
    </row>
    <row r="10" spans="2:7" ht="15.75" customHeight="1">
      <c r="B10" s="16" t="s">
        <v>122</v>
      </c>
      <c r="C10" s="17">
        <f>C6+C7+C8+C9+C4</f>
        <v>664753518.07</v>
      </c>
      <c r="D10" s="17">
        <f>D6+D7+D8+D9+D4</f>
        <v>729774234.45</v>
      </c>
      <c r="E10" s="17">
        <f>(E6+E7+E8+E9+E4)*G10/100</f>
        <v>734288320.5127001</v>
      </c>
      <c r="F10" s="18"/>
      <c r="G10" s="19">
        <v>100</v>
      </c>
    </row>
    <row r="11" spans="2:7" ht="15.75" customHeight="1">
      <c r="B11" s="16" t="s">
        <v>123</v>
      </c>
      <c r="C11" s="17">
        <f>C6+C7+C8+C9+'Форма 1'!D35+C4+C5+C27</f>
        <v>783453451.2700001</v>
      </c>
      <c r="D11" s="17">
        <f>D6+D7+D8+D9+'Форма 1'!E35+D4+D5+D27</f>
        <v>931365582.98</v>
      </c>
      <c r="E11" s="18">
        <f>(E4+E5+E6+E7+E8+E9+E27+'Форма 1'!E35)*G11/100</f>
        <v>935199805.1518791</v>
      </c>
      <c r="F11" s="18"/>
      <c r="G11" s="19">
        <v>100</v>
      </c>
    </row>
    <row r="12" spans="2:7" ht="15.75" customHeight="1">
      <c r="B12" s="205" t="s">
        <v>198</v>
      </c>
      <c r="C12" s="17">
        <f>'Форма 1'!D35+C8+C27-C5</f>
        <v>157286738.64</v>
      </c>
      <c r="D12" s="17">
        <f>('Форма 1'!E35+D8+D27-D5)</f>
        <v>140199714.42000002</v>
      </c>
      <c r="E12" s="18">
        <f>('Форма 1'!E35+E8+E27-E5)*G4*G6*G7*G12/100000000</f>
        <v>145533543.46625397</v>
      </c>
      <c r="F12" s="18"/>
      <c r="G12" s="19">
        <v>101</v>
      </c>
    </row>
    <row r="13" spans="2:7" ht="15.75" customHeight="1">
      <c r="B13" s="22" t="s">
        <v>124</v>
      </c>
      <c r="C13" s="23">
        <v>12</v>
      </c>
      <c r="D13" s="23">
        <v>14</v>
      </c>
      <c r="E13" s="17">
        <f>D13*G13*G35/10000</f>
        <v>14</v>
      </c>
      <c r="F13" s="17"/>
      <c r="G13" s="19">
        <v>100</v>
      </c>
    </row>
    <row r="14" spans="2:7" ht="15.75" customHeight="1">
      <c r="B14" s="22" t="s">
        <v>125</v>
      </c>
      <c r="C14" s="24">
        <v>10</v>
      </c>
      <c r="D14" s="24">
        <v>12</v>
      </c>
      <c r="E14" s="17">
        <f>D14*G14*G35/10000</f>
        <v>12</v>
      </c>
      <c r="F14" s="17"/>
      <c r="G14" s="19">
        <v>100</v>
      </c>
    </row>
    <row r="15" spans="2:7" ht="15.75" customHeight="1">
      <c r="B15" s="22" t="s">
        <v>126</v>
      </c>
      <c r="C15" s="24">
        <v>5</v>
      </c>
      <c r="D15" s="24">
        <v>2</v>
      </c>
      <c r="E15" s="17">
        <f>D15*G15*G35/10000</f>
        <v>2</v>
      </c>
      <c r="F15" s="17"/>
      <c r="G15" s="19">
        <v>100</v>
      </c>
    </row>
    <row r="16" spans="2:7" ht="15.75" customHeight="1">
      <c r="B16" s="22" t="s">
        <v>127</v>
      </c>
      <c r="C16" s="24">
        <v>154</v>
      </c>
      <c r="D16" s="24">
        <v>102</v>
      </c>
      <c r="E16" s="17">
        <f>D16*G16*G35/10000</f>
        <v>102</v>
      </c>
      <c r="F16" s="17"/>
      <c r="G16" s="19">
        <v>100</v>
      </c>
    </row>
    <row r="17" spans="2:7" ht="15.75" customHeight="1">
      <c r="B17" s="22" t="s">
        <v>199</v>
      </c>
      <c r="C17" s="25">
        <v>20</v>
      </c>
      <c r="D17" s="25">
        <v>25</v>
      </c>
      <c r="E17" s="17">
        <f>D17*G17*G35/10000</f>
        <v>25</v>
      </c>
      <c r="F17" s="17"/>
      <c r="G17" s="19">
        <v>100</v>
      </c>
    </row>
    <row r="18" spans="2:7" ht="15.75" customHeight="1">
      <c r="B18" s="28" t="s">
        <v>128</v>
      </c>
      <c r="C18" s="29">
        <f>(1-0.2)*(C50-B83)*(C10/C12)</f>
        <v>-36.333378821288036</v>
      </c>
      <c r="D18" s="29">
        <f>(1-0.2)*(D50-B75)*(D10/D12)</f>
        <v>-18.003128804125314</v>
      </c>
      <c r="E18" s="30">
        <f>(1-0.2)*(D50-B91)*(E10/E12)</f>
        <v>-17.92279180948867</v>
      </c>
      <c r="F18" s="26">
        <f>E18</f>
        <v>-17.92279180948867</v>
      </c>
      <c r="G18" s="27">
        <v>100</v>
      </c>
    </row>
    <row r="19" spans="2:7" ht="15.75" customHeight="1">
      <c r="B19" s="28" t="s">
        <v>129</v>
      </c>
      <c r="C19" s="18">
        <f>(C34-(C11*B83/100))</f>
        <v>-167199722.40804005</v>
      </c>
      <c r="D19" s="18">
        <f>(D34-(D11*B75/100))</f>
        <v>-114108414.17136</v>
      </c>
      <c r="E19" s="18">
        <f>(E34-(E11*B91/100))</f>
        <v>-115481717.98108949</v>
      </c>
      <c r="F19" s="26">
        <f>E19</f>
        <v>-115481717.98108949</v>
      </c>
      <c r="G19" s="27">
        <v>100</v>
      </c>
    </row>
    <row r="20" spans="2:17" s="15" customFormat="1" ht="15.75" customHeight="1" thickBot="1">
      <c r="B20" s="31" t="s">
        <v>130</v>
      </c>
      <c r="C20" s="32">
        <f>C22-(C11*B83/100)</f>
        <v>-194911816.23804003</v>
      </c>
      <c r="D20" s="32">
        <f>D22-(D11*B75/100)</f>
        <v>-154399122.50136</v>
      </c>
      <c r="E20" s="32">
        <f>E22-(E11*B91/100)</f>
        <v>-155772426.31108952</v>
      </c>
      <c r="F20" s="33">
        <f>E20</f>
        <v>-155772426.31108952</v>
      </c>
      <c r="G20" s="34">
        <v>100</v>
      </c>
      <c r="H20" s="7"/>
      <c r="I20" s="21"/>
      <c r="L20" s="21"/>
      <c r="M20" s="21"/>
      <c r="N20" s="21"/>
      <c r="O20" s="21"/>
      <c r="P20" s="21"/>
      <c r="Q20" s="21"/>
    </row>
    <row r="21" spans="2:17" s="15" customFormat="1" ht="18" customHeight="1" thickBot="1" thickTop="1">
      <c r="B21" s="90" t="s">
        <v>179</v>
      </c>
      <c r="C21" s="87"/>
      <c r="D21" s="87"/>
      <c r="E21" s="87"/>
      <c r="F21" s="88"/>
      <c r="G21" s="89">
        <v>100</v>
      </c>
      <c r="H21" s="7"/>
      <c r="I21" s="21"/>
      <c r="J21" s="21"/>
      <c r="K21" s="21"/>
      <c r="L21" s="21"/>
      <c r="M21" s="21"/>
      <c r="N21" s="21"/>
      <c r="O21" s="21"/>
      <c r="P21" s="21"/>
      <c r="Q21" s="21"/>
    </row>
    <row r="22" spans="2:17" s="15" customFormat="1" ht="15.75" customHeight="1" thickTop="1">
      <c r="B22" s="106" t="s">
        <v>182</v>
      </c>
      <c r="C22" s="35">
        <f>C34-C35+C36-C37-C38</f>
        <v>-87032065.52999999</v>
      </c>
      <c r="D22" s="107">
        <f>(D34-D35+D36-D37-D38)</f>
        <v>-86566960.52000001</v>
      </c>
      <c r="E22" s="107">
        <f>E34-E35+E36-E37-E38</f>
        <v>-86566960.52000001</v>
      </c>
      <c r="F22" s="107">
        <f>E22</f>
        <v>-86566960.52000001</v>
      </c>
      <c r="G22" s="36">
        <v>100</v>
      </c>
      <c r="H22" s="7"/>
      <c r="I22" s="21"/>
      <c r="L22" s="21"/>
      <c r="M22" s="21"/>
      <c r="N22" s="21"/>
      <c r="O22" s="21"/>
      <c r="P22" s="21"/>
      <c r="Q22" s="21"/>
    </row>
    <row r="23" spans="2:7" ht="15.75" customHeight="1">
      <c r="B23" s="37" t="s">
        <v>131</v>
      </c>
      <c r="C23" s="38">
        <f>(IF(('Форма 2'!E8-'Форма 2'!F8)&lt;0,('Форма 2'!E8-'Форма 2'!F8)*-1,('Форма 2'!E8-'Форма 2'!F8))/'Форма 2'!E8)/((C26-C26*15%)/C26)</f>
        <v>0.1292723302596699</v>
      </c>
      <c r="D23" s="38">
        <v>1.043</v>
      </c>
      <c r="E23" s="39">
        <f>((IF(E24-C24&lt;0,E24-C24*-1,E24-C24))/E24/((E26-C26)/E26))</f>
        <v>1.043391580928676</v>
      </c>
      <c r="F23" s="40">
        <f>E23</f>
        <v>1.043391580928676</v>
      </c>
      <c r="G23" s="41">
        <v>100</v>
      </c>
    </row>
    <row r="24" spans="2:9" ht="15.75" customHeight="1">
      <c r="B24" s="37" t="s">
        <v>132</v>
      </c>
      <c r="C24" s="42">
        <f>'Форма 2'!E8</f>
        <v>472742328</v>
      </c>
      <c r="D24" s="42">
        <f>'Форма 2'!D8</f>
        <v>779237405</v>
      </c>
      <c r="E24" s="42">
        <f>('Форма 2'!D8)*G24*G25*G26/1000000</f>
        <v>779237405</v>
      </c>
      <c r="F24" s="42"/>
      <c r="G24" s="43">
        <v>100</v>
      </c>
      <c r="I24" s="44"/>
    </row>
    <row r="25" spans="2:7" ht="15.75" customHeight="1">
      <c r="B25" s="37" t="s">
        <v>133</v>
      </c>
      <c r="C25" s="45">
        <v>1474.28</v>
      </c>
      <c r="D25" s="45">
        <v>1514.03</v>
      </c>
      <c r="E25" s="45">
        <f>D25*G25/100</f>
        <v>1514.03</v>
      </c>
      <c r="F25" s="45"/>
      <c r="G25" s="43">
        <v>100</v>
      </c>
    </row>
    <row r="26" spans="2:9" ht="15.75" customHeight="1">
      <c r="B26" s="37" t="s">
        <v>134</v>
      </c>
      <c r="C26" s="42">
        <f>C24/C25</f>
        <v>320659.79868139024</v>
      </c>
      <c r="D26" s="42">
        <f>D24/D25</f>
        <v>514677.6516977867</v>
      </c>
      <c r="E26" s="42">
        <f>E24/E25</f>
        <v>514677.6516977867</v>
      </c>
      <c r="F26" s="42"/>
      <c r="G26" s="43">
        <v>100</v>
      </c>
      <c r="I26" s="44"/>
    </row>
    <row r="27" spans="2:7" ht="15.75" customHeight="1">
      <c r="B27" s="46" t="s">
        <v>135</v>
      </c>
      <c r="C27" s="42">
        <f>'Форма 1'!D15</f>
        <v>66772196.3</v>
      </c>
      <c r="D27" s="42">
        <f>'Форма 1'!E15</f>
        <v>61035578.70999999</v>
      </c>
      <c r="E27" s="47">
        <f>('Форма 1'!E15*G27*G12)/10000</f>
        <v>61645934.49709999</v>
      </c>
      <c r="F27" s="47"/>
      <c r="G27" s="43">
        <v>100</v>
      </c>
    </row>
    <row r="28" spans="2:11" ht="15.75" customHeight="1">
      <c r="B28" s="37" t="s">
        <v>136</v>
      </c>
      <c r="C28" s="42">
        <f>'Форма 2'!E9</f>
        <v>256075968</v>
      </c>
      <c r="D28" s="42">
        <f>'Форма 2'!D9</f>
        <v>557319416.37</v>
      </c>
      <c r="E28" s="42">
        <f>('Форма 2'!D9)*G28*G26*G24/1000000</f>
        <v>557319416.37</v>
      </c>
      <c r="F28" s="42"/>
      <c r="G28" s="43">
        <v>100</v>
      </c>
      <c r="J28" s="5"/>
      <c r="K28" s="5"/>
    </row>
    <row r="29" spans="2:7" ht="15.75" customHeight="1">
      <c r="B29" s="108" t="s">
        <v>183</v>
      </c>
      <c r="C29" s="42">
        <f>C24-C28</f>
        <v>216666360</v>
      </c>
      <c r="D29" s="42">
        <f>D24-D28</f>
        <v>221917988.63</v>
      </c>
      <c r="E29" s="48">
        <f>E24-E28</f>
        <v>221917988.63</v>
      </c>
      <c r="F29" s="49"/>
      <c r="G29" s="43">
        <v>100</v>
      </c>
    </row>
    <row r="30" spans="2:17" ht="15.75" customHeight="1">
      <c r="B30" s="37" t="s">
        <v>137</v>
      </c>
      <c r="C30" s="42">
        <f>'Форма 2'!E11</f>
        <v>46984165.03</v>
      </c>
      <c r="D30" s="42">
        <f>'Форма 2'!D11</f>
        <v>86957294.2</v>
      </c>
      <c r="E30" s="42">
        <f>'Форма 2'!D11*G30/100</f>
        <v>86957294.2</v>
      </c>
      <c r="F30" s="42"/>
      <c r="G30" s="43">
        <v>100</v>
      </c>
      <c r="I30" s="5"/>
      <c r="J30" s="5"/>
      <c r="K30" s="5"/>
      <c r="L30" s="5"/>
      <c r="M30" s="5"/>
      <c r="N30" s="5"/>
      <c r="O30" s="5"/>
      <c r="P30" s="5"/>
      <c r="Q30" s="5"/>
    </row>
    <row r="31" spans="2:17" ht="15.75" customHeight="1">
      <c r="B31" s="37" t="s">
        <v>138</v>
      </c>
      <c r="C31" s="42">
        <f>'Форма 2'!E12</f>
        <v>26798052.88</v>
      </c>
      <c r="D31" s="42">
        <f>'Форма 2'!D12</f>
        <v>29076818.6</v>
      </c>
      <c r="E31" s="42">
        <f>'Форма 2'!D12*G31/100</f>
        <v>29076818.6</v>
      </c>
      <c r="F31" s="42"/>
      <c r="G31" s="43">
        <v>100</v>
      </c>
      <c r="I31" s="5"/>
      <c r="J31" s="5"/>
      <c r="K31" s="5"/>
      <c r="L31" s="5"/>
      <c r="M31" s="5"/>
      <c r="N31" s="5"/>
      <c r="O31" s="5"/>
      <c r="P31" s="5"/>
      <c r="Q31" s="5"/>
    </row>
    <row r="32" spans="2:17" ht="15.75" customHeight="1">
      <c r="B32" s="37" t="s">
        <v>139</v>
      </c>
      <c r="C32" s="42">
        <f>C29-C30-C31</f>
        <v>142884142.09</v>
      </c>
      <c r="D32" s="42">
        <f>D29-D30-D31</f>
        <v>105883875.83000001</v>
      </c>
      <c r="E32" s="42">
        <f>E29-E30-E31</f>
        <v>105883875.83000001</v>
      </c>
      <c r="F32" s="49">
        <f>E32</f>
        <v>105883875.83000001</v>
      </c>
      <c r="G32" s="41">
        <v>100</v>
      </c>
      <c r="I32" s="5"/>
      <c r="J32" s="5"/>
      <c r="K32" s="5"/>
      <c r="L32" s="5"/>
      <c r="M32" s="5"/>
      <c r="N32" s="5"/>
      <c r="O32" s="5"/>
      <c r="P32" s="5"/>
      <c r="Q32" s="5"/>
    </row>
    <row r="33" spans="2:17" ht="15.75" customHeight="1">
      <c r="B33" s="37" t="s">
        <v>140</v>
      </c>
      <c r="C33" s="42">
        <f>'Форма 2'!E14</f>
        <v>202204113.79</v>
      </c>
      <c r="D33" s="42">
        <f>'Форма 2'!D14</f>
        <v>152160128.02</v>
      </c>
      <c r="E33" s="42">
        <f>'Форма 2'!D14*G33/100</f>
        <v>152160128.02</v>
      </c>
      <c r="F33" s="42"/>
      <c r="G33" s="43">
        <v>100</v>
      </c>
      <c r="I33" s="5"/>
      <c r="J33" s="218" t="s">
        <v>141</v>
      </c>
      <c r="K33" s="218"/>
      <c r="L33" s="5"/>
      <c r="M33" s="5"/>
      <c r="N33" s="5"/>
      <c r="O33" s="5"/>
      <c r="P33" s="5"/>
      <c r="Q33" s="5"/>
    </row>
    <row r="34" spans="2:17" ht="15.75" customHeight="1">
      <c r="B34" s="37" t="s">
        <v>142</v>
      </c>
      <c r="C34" s="42">
        <f>C32-C33</f>
        <v>-59319971.69999999</v>
      </c>
      <c r="D34" s="42">
        <f>D32-D33</f>
        <v>-46276252.19</v>
      </c>
      <c r="E34" s="42">
        <f>(E32-E33)</f>
        <v>-46276252.19</v>
      </c>
      <c r="F34" s="49">
        <f>E34</f>
        <v>-46276252.19</v>
      </c>
      <c r="G34" s="41">
        <v>100</v>
      </c>
      <c r="I34" s="5"/>
      <c r="J34" s="50">
        <v>-100000000</v>
      </c>
      <c r="K34" s="51">
        <f>IF(E22&lt;0,0,E22)</f>
        <v>0</v>
      </c>
      <c r="L34" s="5"/>
      <c r="M34" s="5"/>
      <c r="N34" s="5"/>
      <c r="O34" s="5"/>
      <c r="P34" s="5"/>
      <c r="Q34" s="5"/>
    </row>
    <row r="35" spans="2:17" ht="15.75" customHeight="1">
      <c r="B35" s="37" t="s">
        <v>143</v>
      </c>
      <c r="C35" s="42">
        <f>IF(C98&gt;'Форма 2'!E17-'Форма 2'!E16,C98,'Форма 2'!E17-'Форма 2'!E16)</f>
        <v>12014406.86</v>
      </c>
      <c r="D35" s="42">
        <f>IF(C96&gt;'Форма 2'!D17-'Форма 2'!D16,C96,'Форма 2'!D17-'Форма 2'!D16)</f>
        <v>21388374.9</v>
      </c>
      <c r="E35" s="42">
        <f>(IF(C100&gt;'Форма 2'!D17-'Форма 2'!D16,C100,'Форма 2'!D17-'Форма 2'!D16))*G35/100</f>
        <v>21388374.9</v>
      </c>
      <c r="F35" s="42"/>
      <c r="G35" s="43">
        <v>100</v>
      </c>
      <c r="I35" s="5"/>
      <c r="J35" s="52">
        <v>0</v>
      </c>
      <c r="K35" s="53">
        <v>500000</v>
      </c>
      <c r="L35" s="5"/>
      <c r="M35" s="5"/>
      <c r="N35" s="5"/>
      <c r="O35" s="5"/>
      <c r="P35" s="5"/>
      <c r="Q35" s="5"/>
    </row>
    <row r="36" spans="2:17" ht="15.75" customHeight="1">
      <c r="B36" s="37" t="s">
        <v>144</v>
      </c>
      <c r="C36" s="42">
        <f>'Форма 2'!E18</f>
        <v>24057312</v>
      </c>
      <c r="D36" s="42">
        <f>'Форма 2'!D18</f>
        <v>16671873.870000003</v>
      </c>
      <c r="E36" s="42">
        <f>'Форма 2'!D18*G36/100</f>
        <v>16671873.870000003</v>
      </c>
      <c r="F36" s="42"/>
      <c r="G36" s="43">
        <v>100</v>
      </c>
      <c r="I36" s="5"/>
      <c r="J36" s="52">
        <v>400000000</v>
      </c>
      <c r="K36" s="53">
        <f>J38*2-(K34+K35)</f>
        <v>1999500000</v>
      </c>
      <c r="L36" s="5"/>
      <c r="M36" s="5"/>
      <c r="N36" s="5"/>
      <c r="O36" s="5"/>
      <c r="P36" s="5"/>
      <c r="Q36" s="5"/>
    </row>
    <row r="37" spans="2:17" ht="15.75" customHeight="1">
      <c r="B37" s="37" t="s">
        <v>145</v>
      </c>
      <c r="C37" s="42">
        <f>'Форма 2'!E19</f>
        <v>37773659</v>
      </c>
      <c r="D37" s="42">
        <f>'Форма 2'!D19</f>
        <v>34958833.260000005</v>
      </c>
      <c r="E37" s="42">
        <f>'Форма 2'!D19*G37/100</f>
        <v>34958833.260000005</v>
      </c>
      <c r="F37" s="42"/>
      <c r="G37" s="43">
        <v>100</v>
      </c>
      <c r="I37" s="5"/>
      <c r="J37" s="52">
        <v>500000000</v>
      </c>
      <c r="K37" s="53"/>
      <c r="L37" s="5"/>
      <c r="M37" s="5"/>
      <c r="N37" s="5"/>
      <c r="O37" s="5"/>
      <c r="P37" s="5"/>
      <c r="Q37" s="5"/>
    </row>
    <row r="38" spans="2:17" ht="15.75" customHeight="1" thickBot="1">
      <c r="B38" s="54" t="s">
        <v>146</v>
      </c>
      <c r="C38" s="55">
        <f>'Форма 2'!E21</f>
        <v>1981339.97</v>
      </c>
      <c r="D38" s="55">
        <f>'Форма 2'!D21</f>
        <v>615374.04</v>
      </c>
      <c r="E38" s="55">
        <f>'Форма 2'!D21*G38/100</f>
        <v>615374.04</v>
      </c>
      <c r="F38" s="55"/>
      <c r="G38" s="56">
        <v>100</v>
      </c>
      <c r="I38" s="5"/>
      <c r="J38" s="53">
        <f>ABS(J34)+ABS(J35)+J36+J37</f>
        <v>1000000000</v>
      </c>
      <c r="K38" s="53">
        <f>J38/2</f>
        <v>500000000</v>
      </c>
      <c r="L38" s="5"/>
      <c r="M38" s="5"/>
      <c r="N38" s="5"/>
      <c r="O38" s="5"/>
      <c r="P38" s="5"/>
      <c r="Q38" s="5"/>
    </row>
    <row r="39" spans="2:17" ht="15.75" customHeight="1" thickTop="1">
      <c r="B39" s="90" t="s">
        <v>147</v>
      </c>
      <c r="C39" s="57"/>
      <c r="D39" s="57"/>
      <c r="E39" s="57"/>
      <c r="F39" s="57"/>
      <c r="G39" s="58"/>
      <c r="I39" s="5"/>
      <c r="J39" s="5"/>
      <c r="K39" s="5"/>
      <c r="L39" s="5"/>
      <c r="M39" s="5"/>
      <c r="N39" s="5"/>
      <c r="O39" s="5"/>
      <c r="P39" s="5"/>
      <c r="Q39" s="5"/>
    </row>
    <row r="40" spans="2:17" ht="15" customHeight="1" thickBot="1">
      <c r="B40" s="8" t="s">
        <v>148</v>
      </c>
      <c r="C40" s="9" t="s">
        <v>111</v>
      </c>
      <c r="D40" s="9" t="s">
        <v>112</v>
      </c>
      <c r="E40" s="9" t="s">
        <v>113</v>
      </c>
      <c r="F40" s="9" t="s">
        <v>149</v>
      </c>
      <c r="G40" s="10"/>
      <c r="I40" s="5"/>
      <c r="J40" s="5"/>
      <c r="K40" s="5"/>
      <c r="L40" s="5"/>
      <c r="M40" s="5"/>
      <c r="N40" s="5"/>
      <c r="O40" s="5"/>
      <c r="P40" s="5"/>
      <c r="Q40" s="5"/>
    </row>
    <row r="41" spans="2:17" ht="31.5" customHeight="1" thickTop="1">
      <c r="B41" s="109" t="s">
        <v>184</v>
      </c>
      <c r="C41" s="59">
        <f>C29/C24</f>
        <v>0.4583180882419312</v>
      </c>
      <c r="D41" s="59">
        <f>D29/D24</f>
        <v>0.28478867570531985</v>
      </c>
      <c r="E41" s="59">
        <f>E29/E24</f>
        <v>0.28478867570531985</v>
      </c>
      <c r="F41" s="60">
        <f>E41</f>
        <v>0.28478867570531985</v>
      </c>
      <c r="G41" s="61"/>
      <c r="I41" s="5"/>
      <c r="J41" s="5"/>
      <c r="K41" s="5"/>
      <c r="L41" s="5"/>
      <c r="M41" s="5"/>
      <c r="N41" s="5"/>
      <c r="O41" s="5"/>
      <c r="P41" s="5"/>
      <c r="Q41" s="5"/>
    </row>
    <row r="42" spans="2:17" ht="15.75" customHeight="1">
      <c r="B42" s="62" t="s">
        <v>150</v>
      </c>
      <c r="C42" s="63">
        <f>C29/C34</f>
        <v>-3.652502753975522</v>
      </c>
      <c r="D42" s="63">
        <f>D29/D34</f>
        <v>-4.795504781131672</v>
      </c>
      <c r="E42" s="64">
        <f>E29/E34</f>
        <v>-4.795504781131672</v>
      </c>
      <c r="F42" s="65">
        <f>E42</f>
        <v>-4.795504781131672</v>
      </c>
      <c r="G42" s="66"/>
      <c r="I42" s="5"/>
      <c r="J42" s="5"/>
      <c r="K42" s="5"/>
      <c r="L42" s="5"/>
      <c r="M42" s="5"/>
      <c r="N42" s="5"/>
      <c r="O42" s="5"/>
      <c r="P42" s="5"/>
      <c r="Q42" s="5"/>
    </row>
    <row r="43" spans="2:17" ht="15.75" customHeight="1">
      <c r="B43" s="62" t="s">
        <v>151</v>
      </c>
      <c r="C43" s="63">
        <f>C24/C32</f>
        <v>3.3085709938491887</v>
      </c>
      <c r="D43" s="63">
        <f>D24/D32</f>
        <v>7.359358532087462</v>
      </c>
      <c r="E43" s="64">
        <f>E24/E32</f>
        <v>7.359358532087462</v>
      </c>
      <c r="F43" s="65">
        <f aca="true" t="shared" si="0" ref="F43:F64">E43</f>
        <v>7.359358532087462</v>
      </c>
      <c r="G43" s="66"/>
      <c r="I43" s="5"/>
      <c r="J43" s="5"/>
      <c r="K43" s="5"/>
      <c r="L43" s="5"/>
      <c r="M43" s="5"/>
      <c r="N43" s="5"/>
      <c r="O43" s="5"/>
      <c r="P43" s="5"/>
      <c r="Q43" s="5"/>
    </row>
    <row r="44" spans="2:17" ht="15.75" customHeight="1">
      <c r="B44" s="62" t="s">
        <v>152</v>
      </c>
      <c r="C44" s="67">
        <f>(C24*(C30+C31+C33+C35+C37)/(C24-C28))</f>
        <v>710804146.5473087</v>
      </c>
      <c r="D44" s="67">
        <f>(D24*(D30+D31+D33+D35+D37)/(D24-D28))</f>
        <v>1139586917.1280308</v>
      </c>
      <c r="E44" s="68">
        <f>IF(E29&lt;0,"-",E24*(E30+E31+E33+E35+E37)/E29)</f>
        <v>1139586917.1280308</v>
      </c>
      <c r="F44" s="69">
        <f t="shared" si="0"/>
        <v>1139586917.1280308</v>
      </c>
      <c r="G44" s="66"/>
      <c r="I44" s="5"/>
      <c r="J44" s="5"/>
      <c r="K44" s="5"/>
      <c r="L44" s="5"/>
      <c r="M44" s="5"/>
      <c r="N44" s="5"/>
      <c r="O44" s="5"/>
      <c r="P44" s="5"/>
      <c r="Q44" s="5"/>
    </row>
    <row r="45" spans="2:17" ht="15.75" customHeight="1">
      <c r="B45" s="62" t="s">
        <v>153</v>
      </c>
      <c r="C45" s="67">
        <f>(C24-C44)</f>
        <v>-238061818.54730868</v>
      </c>
      <c r="D45" s="67">
        <f>(D24-D44)</f>
        <v>-360349512.1280308</v>
      </c>
      <c r="E45" s="67">
        <f>IF(E44="-","-",E24-E44)</f>
        <v>-360349512.1280308</v>
      </c>
      <c r="F45" s="69">
        <f t="shared" si="0"/>
        <v>-360349512.1280308</v>
      </c>
      <c r="G45" s="66"/>
      <c r="I45" s="5"/>
      <c r="J45" s="5"/>
      <c r="K45" s="5"/>
      <c r="L45" s="5"/>
      <c r="M45" s="5"/>
      <c r="N45" s="5"/>
      <c r="O45" s="5"/>
      <c r="P45" s="5"/>
      <c r="Q45" s="5"/>
    </row>
    <row r="46" spans="2:17" ht="15.75" customHeight="1">
      <c r="B46" s="70" t="s">
        <v>154</v>
      </c>
      <c r="C46" s="71">
        <f>(C34/C11)</f>
        <v>-0.07571601299839913</v>
      </c>
      <c r="D46" s="71">
        <f>(D34/D11)</f>
        <v>-0.04968645291995262</v>
      </c>
      <c r="E46" s="71">
        <f>(E34/E11)</f>
        <v>-0.04948274361807058</v>
      </c>
      <c r="F46" s="72">
        <f t="shared" si="0"/>
        <v>-0.04948274361807058</v>
      </c>
      <c r="G46" s="66"/>
      <c r="I46" s="5"/>
      <c r="J46" s="5"/>
      <c r="K46" s="5"/>
      <c r="L46" s="5"/>
      <c r="M46" s="5"/>
      <c r="N46" s="5"/>
      <c r="O46" s="5"/>
      <c r="P46" s="5"/>
      <c r="Q46" s="5"/>
    </row>
    <row r="47" spans="2:17" ht="15.75" customHeight="1">
      <c r="B47" s="210" t="s">
        <v>207</v>
      </c>
      <c r="C47" s="71">
        <f>C42*C18</f>
        <v>132.70776620599045</v>
      </c>
      <c r="D47" s="71">
        <f>D42*D18</f>
        <v>86.33409025551225</v>
      </c>
      <c r="E47" s="71">
        <f>E42*E18</f>
        <v>85.94883381363047</v>
      </c>
      <c r="F47" s="72">
        <f t="shared" si="0"/>
        <v>85.94883381363047</v>
      </c>
      <c r="G47" s="66"/>
      <c r="I47" s="5"/>
      <c r="J47" s="5"/>
      <c r="K47" s="5"/>
      <c r="L47" s="5"/>
      <c r="M47" s="5"/>
      <c r="N47" s="5"/>
      <c r="O47" s="5"/>
      <c r="P47" s="5"/>
      <c r="Q47" s="5"/>
    </row>
    <row r="48" spans="2:17" ht="15.75" customHeight="1">
      <c r="B48" s="70" t="s">
        <v>155</v>
      </c>
      <c r="C48" s="73">
        <f>'Форма 1'!D29/'Форма 1'!D8*100%</f>
        <v>1.0449009918541938</v>
      </c>
      <c r="D48" s="73">
        <f>'Форма 1'!E29/'Форма 1'!E8*100%</f>
        <v>1.041149492589847</v>
      </c>
      <c r="E48" s="73">
        <f>'Форма 1'!E29/'Форма 1'!E8*100%</f>
        <v>1.041149492589847</v>
      </c>
      <c r="F48" s="74">
        <f t="shared" si="0"/>
        <v>1.041149492589847</v>
      </c>
      <c r="G48" s="66"/>
      <c r="I48" s="5"/>
      <c r="J48" s="5"/>
      <c r="K48" s="5"/>
      <c r="L48" s="5"/>
      <c r="M48" s="5"/>
      <c r="N48" s="5"/>
      <c r="O48" s="5"/>
      <c r="P48" s="5"/>
      <c r="Q48" s="5"/>
    </row>
    <row r="49" spans="2:17" ht="15.75" customHeight="1">
      <c r="B49" s="70" t="s">
        <v>156</v>
      </c>
      <c r="C49" s="67">
        <f>'Форма 1'!D8-'Форма 1'!D29</f>
        <v>-28782719.51999986</v>
      </c>
      <c r="D49" s="67">
        <f>'Форма 1'!E8-'Форма 1'!E29</f>
        <v>-29247824.52999997</v>
      </c>
      <c r="E49" s="67">
        <f>'Форма 1'!E8-'Форма 1'!E29</f>
        <v>-29247824.52999997</v>
      </c>
      <c r="F49" s="69">
        <f t="shared" si="0"/>
        <v>-29247824.52999997</v>
      </c>
      <c r="G49" s="66"/>
      <c r="I49" s="5"/>
      <c r="J49" s="5"/>
      <c r="K49" s="5"/>
      <c r="L49" s="5"/>
      <c r="M49" s="5"/>
      <c r="N49" s="5"/>
      <c r="O49" s="5"/>
      <c r="P49" s="5"/>
      <c r="Q49" s="5"/>
    </row>
    <row r="50" spans="2:17" ht="15.75" customHeight="1">
      <c r="B50" s="70" t="s">
        <v>157</v>
      </c>
      <c r="C50" s="63">
        <f>C22/('Форма 1'!D8-'Форма 1'!D29)</f>
        <v>3.02376102680378</v>
      </c>
      <c r="D50" s="75">
        <f>D22/('Форма 1'!E8-'Форма 1'!E29)</f>
        <v>2.95977433915493</v>
      </c>
      <c r="E50" s="71">
        <f>E22/('Форма 1'!E8-'Форма 1'!E29)</f>
        <v>2.95977433915493</v>
      </c>
      <c r="F50" s="72">
        <f t="shared" si="0"/>
        <v>2.95977433915493</v>
      </c>
      <c r="G50" s="66"/>
      <c r="I50" s="5"/>
      <c r="J50" s="5"/>
      <c r="K50" s="5"/>
      <c r="L50" s="5"/>
      <c r="M50" s="5"/>
      <c r="N50" s="5"/>
      <c r="O50" s="5"/>
      <c r="P50" s="5"/>
      <c r="Q50" s="5"/>
    </row>
    <row r="51" spans="2:17" ht="15.75" customHeight="1">
      <c r="B51" s="76" t="s">
        <v>158</v>
      </c>
      <c r="C51" s="75">
        <f>(C22+C7*B79)/C49</f>
        <v>0.4369093316374133</v>
      </c>
      <c r="D51" s="75">
        <f>(D22+D7*B71)/D49</f>
        <v>-5.558166205302735</v>
      </c>
      <c r="E51" s="71">
        <f>(E22+E7*B87)/E49</f>
        <v>-5.5232435328274105</v>
      </c>
      <c r="F51" s="72">
        <f t="shared" si="0"/>
        <v>-5.5232435328274105</v>
      </c>
      <c r="G51" s="66"/>
      <c r="I51" s="5"/>
      <c r="J51" s="5"/>
      <c r="K51" s="5"/>
      <c r="L51" s="5"/>
      <c r="M51" s="5"/>
      <c r="N51" s="5"/>
      <c r="O51" s="5"/>
      <c r="P51" s="5"/>
      <c r="Q51" s="5"/>
    </row>
    <row r="52" spans="2:17" ht="15.75" customHeight="1">
      <c r="B52" s="70" t="s">
        <v>159</v>
      </c>
      <c r="C52" s="75">
        <f>C50-B83</f>
        <v>-10.746010557348914</v>
      </c>
      <c r="D52" s="63">
        <f>D50-B75</f>
        <v>-4.323312261954381</v>
      </c>
      <c r="E52" s="63">
        <f>E50-B91</f>
        <v>-4.440298395018742</v>
      </c>
      <c r="F52" s="72">
        <f t="shared" si="0"/>
        <v>-4.440298395018742</v>
      </c>
      <c r="G52" s="66"/>
      <c r="I52" s="5"/>
      <c r="J52" s="5"/>
      <c r="K52" s="5"/>
      <c r="L52" s="5"/>
      <c r="M52" s="5"/>
      <c r="N52" s="5"/>
      <c r="O52" s="5"/>
      <c r="P52" s="5"/>
      <c r="Q52" s="5"/>
    </row>
    <row r="53" spans="2:17" ht="15.75" customHeight="1">
      <c r="B53" s="206" t="s">
        <v>200</v>
      </c>
      <c r="C53" s="75">
        <f>C10/C12</f>
        <v>4.226379946700382</v>
      </c>
      <c r="D53" s="75">
        <f>D10/D12</f>
        <v>5.205247653100034</v>
      </c>
      <c r="E53" s="71">
        <f>E10/E12</f>
        <v>5.045491939684444</v>
      </c>
      <c r="F53" s="72">
        <f t="shared" si="0"/>
        <v>5.045491939684444</v>
      </c>
      <c r="G53" s="66"/>
      <c r="I53" s="5"/>
      <c r="J53" s="5"/>
      <c r="K53" s="5"/>
      <c r="L53" s="5"/>
      <c r="M53" s="5"/>
      <c r="N53" s="5"/>
      <c r="O53" s="5"/>
      <c r="P53" s="5"/>
      <c r="Q53" s="5"/>
    </row>
    <row r="54" spans="2:17" ht="15.75" customHeight="1">
      <c r="B54" s="76" t="s">
        <v>160</v>
      </c>
      <c r="C54" s="71">
        <f>C34/C35</f>
        <v>-4.937403268528896</v>
      </c>
      <c r="D54" s="71">
        <f>D34/D35</f>
        <v>-2.163617030576736</v>
      </c>
      <c r="E54" s="71">
        <f>E34/E35</f>
        <v>-2.163617030576736</v>
      </c>
      <c r="F54" s="72">
        <f t="shared" si="0"/>
        <v>-2.163617030576736</v>
      </c>
      <c r="G54" s="66"/>
      <c r="I54" s="5"/>
      <c r="J54" s="5"/>
      <c r="K54" s="5"/>
      <c r="L54" s="5"/>
      <c r="M54" s="5"/>
      <c r="N54" s="5"/>
      <c r="O54" s="5"/>
      <c r="P54" s="5"/>
      <c r="Q54" s="5"/>
    </row>
    <row r="55" spans="2:17" ht="15.75" customHeight="1">
      <c r="B55" s="76" t="s">
        <v>161</v>
      </c>
      <c r="C55" s="67">
        <f>C28+C30+C31+C33+C35+C37+C38</f>
        <v>583831705.53</v>
      </c>
      <c r="D55" s="67">
        <f>D28+D30+D31+D33+D35+D37+D38</f>
        <v>882476239.39</v>
      </c>
      <c r="E55" s="68">
        <f>E28+E30+E31+E33+E35+E37+E38</f>
        <v>882476239.39</v>
      </c>
      <c r="F55" s="69">
        <f t="shared" si="0"/>
        <v>882476239.39</v>
      </c>
      <c r="G55" s="77"/>
      <c r="I55" s="5"/>
      <c r="J55" s="5"/>
      <c r="K55" s="5"/>
      <c r="L55" s="5"/>
      <c r="M55" s="5"/>
      <c r="N55" s="5"/>
      <c r="O55" s="5"/>
      <c r="P55" s="5"/>
      <c r="Q55" s="5"/>
    </row>
    <row r="56" spans="2:17" ht="15.75" customHeight="1">
      <c r="B56" s="206" t="s">
        <v>201</v>
      </c>
      <c r="C56" s="71">
        <f>C55/C26</f>
        <v>1820.719990253905</v>
      </c>
      <c r="D56" s="71">
        <f>D55/D26</f>
        <v>1714.6193087633437</v>
      </c>
      <c r="E56" s="78">
        <f>E55/E26</f>
        <v>1714.6193087633437</v>
      </c>
      <c r="F56" s="72">
        <f t="shared" si="0"/>
        <v>1714.6193087633437</v>
      </c>
      <c r="G56" s="77"/>
      <c r="I56" s="5"/>
      <c r="J56" s="5"/>
      <c r="K56" s="5"/>
      <c r="L56" s="5"/>
      <c r="M56" s="5"/>
      <c r="N56" s="5"/>
      <c r="O56" s="5"/>
      <c r="P56" s="5"/>
      <c r="Q56" s="5"/>
    </row>
    <row r="57" spans="2:17" ht="15.75" customHeight="1">
      <c r="B57" s="70" t="s">
        <v>162</v>
      </c>
      <c r="C57" s="75">
        <f>(C28)/(C26)</f>
        <v>798.5908088666856</v>
      </c>
      <c r="D57" s="75">
        <f>(D28)/(D26)</f>
        <v>1082.8514013218746</v>
      </c>
      <c r="E57" s="78">
        <f>E28/E26</f>
        <v>1082.8514013218746</v>
      </c>
      <c r="F57" s="72">
        <f t="shared" si="0"/>
        <v>1082.8514013218746</v>
      </c>
      <c r="G57" s="77"/>
      <c r="I57" s="5"/>
      <c r="J57" s="5"/>
      <c r="K57" s="5"/>
      <c r="L57" s="5"/>
      <c r="M57" s="5"/>
      <c r="N57" s="5"/>
      <c r="O57" s="5"/>
      <c r="P57" s="5"/>
      <c r="Q57" s="5"/>
    </row>
    <row r="58" spans="2:17" ht="15.75" customHeight="1">
      <c r="B58" s="70" t="s">
        <v>163</v>
      </c>
      <c r="C58" s="71">
        <f>IF(OR((C28-'Форма 2'!F9)&lt;0,(C26-C26*15%)&lt;0),(C28-'Форма 2'!F9)*-1,(C28-'Форма 2'!F9))/(C26-C26*15%)</f>
        <v>230.69971667819055</v>
      </c>
      <c r="D58" s="71">
        <f>(D28-C28)/(D26-C26)</f>
        <v>1552.6583955371464</v>
      </c>
      <c r="E58" s="71">
        <f>(E28-C28)/(E26-C26)</f>
        <v>1552.6583955371464</v>
      </c>
      <c r="F58" s="72">
        <f t="shared" si="0"/>
        <v>1552.6583955371464</v>
      </c>
      <c r="G58" s="79"/>
      <c r="I58" s="5"/>
      <c r="J58" s="5"/>
      <c r="K58" s="5"/>
      <c r="L58" s="5"/>
      <c r="M58" s="5"/>
      <c r="N58" s="5"/>
      <c r="O58" s="5"/>
      <c r="P58" s="5"/>
      <c r="Q58" s="5"/>
    </row>
    <row r="59" spans="2:17" ht="15.75" customHeight="1">
      <c r="B59" s="70" t="s">
        <v>164</v>
      </c>
      <c r="C59" s="71">
        <f>IF(OR((C24-'Форма 2'!F9)&lt;0,(C26-C26*15%)&lt;0),(C24-'Форма 2'!F9)*-1,(C24-'Форма 2'!F9))/(C26-C26*15%)</f>
        <v>564.2287434786499</v>
      </c>
      <c r="D59" s="71">
        <f>(D24-C24)/(D26-C26)</f>
        <v>1579.7261552734433</v>
      </c>
      <c r="E59" s="71">
        <f>(E24-C24)/(E26-C26)</f>
        <v>1579.7261552734433</v>
      </c>
      <c r="F59" s="72">
        <f t="shared" si="0"/>
        <v>1579.7261552734433</v>
      </c>
      <c r="G59" s="79"/>
      <c r="I59" s="5"/>
      <c r="J59" s="5"/>
      <c r="K59" s="5"/>
      <c r="L59" s="5"/>
      <c r="M59" s="5"/>
      <c r="N59" s="5"/>
      <c r="O59" s="5"/>
      <c r="P59" s="5"/>
      <c r="Q59" s="5"/>
    </row>
    <row r="60" spans="2:17" ht="15.75" customHeight="1">
      <c r="B60" s="70" t="s">
        <v>165</v>
      </c>
      <c r="C60" s="67">
        <f>(C30+C31+C33+C35+C37)/(C25-C57)</f>
        <v>482136.4642722608</v>
      </c>
      <c r="D60" s="67">
        <f>(D30+D31+D33+D35+D37)/(D25-D57)</f>
        <v>752684.5023731572</v>
      </c>
      <c r="E60" s="68">
        <f>(E30+E31+E33+E35+E37)/(E25-E57)</f>
        <v>752684.5023731572</v>
      </c>
      <c r="F60" s="69">
        <f t="shared" si="0"/>
        <v>752684.5023731572</v>
      </c>
      <c r="G60" s="79"/>
      <c r="I60" s="5"/>
      <c r="J60" s="5"/>
      <c r="K60" s="5"/>
      <c r="L60" s="5"/>
      <c r="M60" s="5"/>
      <c r="N60" s="5"/>
      <c r="O60" s="5"/>
      <c r="P60" s="5"/>
      <c r="Q60" s="5"/>
    </row>
    <row r="61" spans="2:17" ht="15.75" customHeight="1">
      <c r="B61" s="208" t="s">
        <v>202</v>
      </c>
      <c r="C61" s="80">
        <f aca="true" t="shared" si="1" ref="C61:E62">C24-C55</f>
        <v>-111089377.52999997</v>
      </c>
      <c r="D61" s="80">
        <f t="shared" si="1"/>
        <v>-103238834.38999999</v>
      </c>
      <c r="E61" s="80">
        <f t="shared" si="1"/>
        <v>-103238834.38999999</v>
      </c>
      <c r="F61" s="69">
        <f t="shared" si="0"/>
        <v>-103238834.38999999</v>
      </c>
      <c r="G61" s="79"/>
      <c r="I61" s="5"/>
      <c r="J61" s="5"/>
      <c r="K61" s="5"/>
      <c r="L61" s="5"/>
      <c r="M61" s="5"/>
      <c r="N61" s="5"/>
      <c r="O61" s="5"/>
      <c r="P61" s="5"/>
      <c r="Q61" s="5"/>
    </row>
    <row r="62" spans="2:17" ht="15.75" customHeight="1">
      <c r="B62" s="207" t="s">
        <v>203</v>
      </c>
      <c r="C62" s="81">
        <f t="shared" si="1"/>
        <v>-346.4399902539051</v>
      </c>
      <c r="D62" s="81">
        <f t="shared" si="1"/>
        <v>-200.58930876334375</v>
      </c>
      <c r="E62" s="81">
        <f t="shared" si="1"/>
        <v>-200.58930876334375</v>
      </c>
      <c r="F62" s="72">
        <f t="shared" si="0"/>
        <v>-200.58930876334375</v>
      </c>
      <c r="G62" s="79"/>
      <c r="I62" s="5"/>
      <c r="J62" s="5"/>
      <c r="K62" s="5"/>
      <c r="L62" s="5"/>
      <c r="M62" s="5"/>
      <c r="N62" s="5"/>
      <c r="O62" s="5"/>
      <c r="P62" s="5"/>
      <c r="Q62" s="5"/>
    </row>
    <row r="63" spans="2:17" ht="15.75" customHeight="1">
      <c r="B63" s="207" t="s">
        <v>204</v>
      </c>
      <c r="C63" s="81">
        <f>C25-C57</f>
        <v>675.6891911333144</v>
      </c>
      <c r="D63" s="81">
        <f>D25-D57</f>
        <v>431.17859867812535</v>
      </c>
      <c r="E63" s="81">
        <f>E25-E57</f>
        <v>431.17859867812535</v>
      </c>
      <c r="F63" s="72">
        <f t="shared" si="0"/>
        <v>431.17859867812535</v>
      </c>
      <c r="G63" s="79"/>
      <c r="I63" s="5"/>
      <c r="J63" s="5"/>
      <c r="K63" s="5"/>
      <c r="L63" s="5"/>
      <c r="M63" s="5"/>
      <c r="N63" s="5"/>
      <c r="O63" s="5"/>
      <c r="P63" s="5"/>
      <c r="Q63" s="5"/>
    </row>
    <row r="64" spans="2:17" ht="15.75" customHeight="1">
      <c r="B64" s="207" t="s">
        <v>205</v>
      </c>
      <c r="C64" s="81">
        <f>C25-C58</f>
        <v>1243.5802833218095</v>
      </c>
      <c r="D64" s="81">
        <f>D25-IF(D58&lt;0,D58*-1,D58)</f>
        <v>-38.62839553714639</v>
      </c>
      <c r="E64" s="81">
        <f>E25-IF(E58&lt;0,E58*-1,E58)</f>
        <v>-38.62839553714639</v>
      </c>
      <c r="F64" s="72">
        <f t="shared" si="0"/>
        <v>-38.62839553714639</v>
      </c>
      <c r="G64" s="79"/>
      <c r="I64" s="5"/>
      <c r="J64" s="5"/>
      <c r="K64" s="5"/>
      <c r="L64" s="5"/>
      <c r="M64" s="5"/>
      <c r="N64" s="5"/>
      <c r="O64" s="5"/>
      <c r="P64" s="5"/>
      <c r="Q64" s="5"/>
    </row>
    <row r="65" spans="2:17" ht="15.75" customHeight="1" thickBot="1">
      <c r="B65" s="209" t="s">
        <v>206</v>
      </c>
      <c r="C65" s="82">
        <f>C25-C59</f>
        <v>910.0512565213501</v>
      </c>
      <c r="D65" s="82">
        <f>D25-IF(D59&lt;0,D59*-1,D59)</f>
        <v>-65.69615527344331</v>
      </c>
      <c r="E65" s="82">
        <f>E25-IF(E59&lt;0,E59*-1,E59)</f>
        <v>-65.69615527344331</v>
      </c>
      <c r="F65" s="83">
        <f>E65</f>
        <v>-65.69615527344331</v>
      </c>
      <c r="G65" s="84"/>
      <c r="I65" s="5"/>
      <c r="J65" s="5"/>
      <c r="K65" s="5"/>
      <c r="L65" s="5"/>
      <c r="M65" s="5"/>
      <c r="N65" s="5"/>
      <c r="O65" s="5"/>
      <c r="P65" s="5"/>
      <c r="Q65" s="5"/>
    </row>
    <row r="66" spans="2:4" s="93" customFormat="1" ht="15.75" customHeight="1" thickTop="1">
      <c r="B66" s="104"/>
      <c r="C66" s="104"/>
      <c r="D66" s="105"/>
    </row>
    <row r="67" spans="2:7" s="93" customFormat="1" ht="18.75" customHeight="1" collapsed="1">
      <c r="B67" s="91" t="s">
        <v>177</v>
      </c>
      <c r="C67" s="92"/>
      <c r="D67" s="92"/>
      <c r="E67" s="92"/>
      <c r="G67" s="94"/>
    </row>
    <row r="68" spans="2:7" s="93" customFormat="1" ht="15.75" customHeight="1" hidden="1" outlineLevel="1">
      <c r="B68" s="95" t="s">
        <v>166</v>
      </c>
      <c r="C68" s="1"/>
      <c r="D68" s="1"/>
      <c r="E68" s="1"/>
      <c r="F68" s="1"/>
      <c r="G68" s="1"/>
    </row>
    <row r="69" spans="2:5" s="93" customFormat="1" ht="15.75" customHeight="1" hidden="1" outlineLevel="1">
      <c r="B69" s="96" t="s">
        <v>167</v>
      </c>
      <c r="C69" s="97"/>
      <c r="D69" s="1"/>
      <c r="E69" s="97"/>
    </row>
    <row r="70" spans="2:17" s="93" customFormat="1" ht="15.75" customHeight="1" hidden="1" outlineLevel="1">
      <c r="B70" s="98">
        <f>D6/D11*D13*(1-0.2)</f>
        <v>1.4764662352758737</v>
      </c>
      <c r="C70" s="99" t="s">
        <v>168</v>
      </c>
      <c r="D70" s="1"/>
      <c r="E70" s="97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s="93" customFormat="1" ht="15.75" customHeight="1" hidden="1" outlineLevel="1">
      <c r="B71" s="98">
        <f>D7/D11*D14*(1-0.2)</f>
        <v>1.6024689023966752</v>
      </c>
      <c r="C71" s="99" t="s">
        <v>169</v>
      </c>
      <c r="D71" s="1"/>
      <c r="E71" s="97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s="93" customFormat="1" ht="15.75" customHeight="1" hidden="1" outlineLevel="1">
      <c r="B72" s="98">
        <f>D8/D11*D15</f>
        <v>0.42782929597319747</v>
      </c>
      <c r="C72" s="99" t="s">
        <v>170</v>
      </c>
      <c r="D72" s="1"/>
      <c r="E72" s="97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s="93" customFormat="1" ht="15.75" customHeight="1" hidden="1" outlineLevel="1">
      <c r="B73" s="98">
        <f>D9/D11*D16</f>
        <v>0.013038528309308128</v>
      </c>
      <c r="C73" s="99" t="s">
        <v>171</v>
      </c>
      <c r="D73" s="1"/>
      <c r="E73" s="97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s="93" customFormat="1" ht="15.75" customHeight="1" hidden="1" outlineLevel="1">
      <c r="B74" s="98">
        <f>B70+B71+B72+B73</f>
        <v>3.5198029619550546</v>
      </c>
      <c r="C74" s="99" t="s">
        <v>172</v>
      </c>
      <c r="D74" s="1"/>
      <c r="E74" s="97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s="93" customFormat="1" ht="15.75" customHeight="1" hidden="1" outlineLevel="1">
      <c r="B75" s="98">
        <f>B74+B76</f>
        <v>7.283086601109311</v>
      </c>
      <c r="C75" s="99" t="s">
        <v>173</v>
      </c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s="93" customFormat="1" ht="15.75" customHeight="1" hidden="1" outlineLevel="1">
      <c r="B76" s="98">
        <f>D12/D11*D17</f>
        <v>3.7632836391542566</v>
      </c>
      <c r="C76" s="99" t="s">
        <v>174</v>
      </c>
      <c r="D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s="93" customFormat="1" ht="15.75" customHeight="1" hidden="1" outlineLevel="1">
      <c r="B77" s="100" t="s">
        <v>175</v>
      </c>
      <c r="E77" s="97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s="93" customFormat="1" ht="15.75" customHeight="1" hidden="1" outlineLevel="1">
      <c r="B78" s="101">
        <f>C6/C11*C13*(1-0.2)</f>
        <v>1.0929829484009694</v>
      </c>
      <c r="C78" s="99" t="s">
        <v>168</v>
      </c>
      <c r="E78" s="97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8" s="93" customFormat="1" ht="15.75" customHeight="1" hidden="1" outlineLevel="1">
      <c r="B79" s="101">
        <f>C7/C11*C14*(1-0.2)</f>
        <v>0.8719469700881748</v>
      </c>
      <c r="C79" s="99" t="s">
        <v>169</v>
      </c>
      <c r="E79" s="97"/>
      <c r="H79" s="1"/>
      <c r="I79" s="1"/>
      <c r="J79" s="1"/>
      <c r="K79" s="1"/>
      <c r="L79" s="1"/>
      <c r="M79" s="1"/>
      <c r="N79" s="1"/>
      <c r="O79" s="1"/>
      <c r="P79" s="1"/>
      <c r="Q79" s="1"/>
      <c r="R79" s="102"/>
    </row>
    <row r="80" spans="2:18" s="93" customFormat="1" ht="15.75" customHeight="1" hidden="1" outlineLevel="1">
      <c r="B80" s="101">
        <f>C8/C11*C15</f>
        <v>0.8445374092454854</v>
      </c>
      <c r="C80" s="99" t="s">
        <v>170</v>
      </c>
      <c r="E80" s="9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s="93" customFormat="1" ht="15.75" customHeight="1" hidden="1" outlineLevel="1">
      <c r="B81" s="101">
        <f>C9/C11*C16</f>
        <v>6.945088332995076</v>
      </c>
      <c r="C81" s="99" t="s">
        <v>171</v>
      </c>
      <c r="D81" s="97"/>
      <c r="E81" s="9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s="93" customFormat="1" ht="15.75" customHeight="1" hidden="1" outlineLevel="1">
      <c r="B82" s="101">
        <f>B78+B79+B80+B81</f>
        <v>9.754555660729705</v>
      </c>
      <c r="C82" s="99" t="s">
        <v>172</v>
      </c>
      <c r="E82" s="9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s="93" customFormat="1" ht="15.75" customHeight="1" hidden="1" outlineLevel="1">
      <c r="B83" s="101">
        <f>B82+B84</f>
        <v>13.769771584152693</v>
      </c>
      <c r="C83" s="99" t="s">
        <v>173</v>
      </c>
      <c r="D83" s="103"/>
      <c r="E83" s="9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s="93" customFormat="1" ht="15.75" customHeight="1" hidden="1" outlineLevel="1">
      <c r="B84" s="101">
        <f>C12/C11*C17</f>
        <v>4.015215923422987</v>
      </c>
      <c r="C84" s="99" t="s">
        <v>174</v>
      </c>
      <c r="E84" s="9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s="93" customFormat="1" ht="15.75" customHeight="1" hidden="1" outlineLevel="1">
      <c r="B85" s="96" t="s">
        <v>176</v>
      </c>
      <c r="C85" s="97"/>
      <c r="E85" s="9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s="93" customFormat="1" ht="15.75" customHeight="1" hidden="1" outlineLevel="1">
      <c r="B86" s="98">
        <f>E6/E11*E13*(1-0.2)</f>
        <v>1.4704128768981888</v>
      </c>
      <c r="C86" s="99" t="s">
        <v>168</v>
      </c>
      <c r="E86" s="9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s="93" customFormat="1" ht="15.75" customHeight="1" hidden="1" outlineLevel="1">
      <c r="B87" s="98">
        <f>E7/E11*E14*(1-0.2)</f>
        <v>1.5958989461568767</v>
      </c>
      <c r="C87" s="99" t="s">
        <v>169</v>
      </c>
      <c r="E87" s="9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s="93" customFormat="1" ht="15.75" customHeight="1" hidden="1" outlineLevel="1">
      <c r="B88" s="98">
        <f>E8/E11*E15</f>
        <v>0.43033599265051276</v>
      </c>
      <c r="C88" s="99" t="s">
        <v>170</v>
      </c>
      <c r="E88" s="9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s="93" customFormat="1" ht="15.75" customHeight="1" hidden="1" outlineLevel="1">
      <c r="B89" s="98">
        <f>E9/E11*E16</f>
        <v>0.012985071696018842</v>
      </c>
      <c r="C89" s="99" t="s">
        <v>171</v>
      </c>
      <c r="E89" s="9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s="93" customFormat="1" ht="15.75" customHeight="1" hidden="1" outlineLevel="1">
      <c r="B90" s="98">
        <f>B86+B87+B88+B89</f>
        <v>3.5096328874015974</v>
      </c>
      <c r="C90" s="99" t="s">
        <v>172</v>
      </c>
      <c r="E90" s="97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s="93" customFormat="1" ht="15.75" customHeight="1" hidden="1" outlineLevel="1">
      <c r="B91" s="98">
        <f>B90+B92</f>
        <v>7.400072734173671</v>
      </c>
      <c r="C91" s="99" t="s">
        <v>173</v>
      </c>
      <c r="E91" s="9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7" s="93" customFormat="1" ht="15.75" customHeight="1" hidden="1" outlineLevel="1">
      <c r="B92" s="98">
        <f>E12/E11*E17</f>
        <v>3.890439846772073</v>
      </c>
      <c r="C92" s="99" t="s">
        <v>174</v>
      </c>
      <c r="E92" s="9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7" s="93" customFormat="1" ht="15.75" customHeight="1">
      <c r="E93" s="1"/>
      <c r="F93" s="1"/>
      <c r="G93" s="1"/>
    </row>
    <row r="94" spans="2:17" ht="15.75" customHeight="1">
      <c r="B94" s="85"/>
      <c r="C94" s="7"/>
      <c r="E94" s="85"/>
      <c r="F94" s="7"/>
      <c r="G94" s="7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15.75" customHeight="1">
      <c r="B95" s="85"/>
      <c r="C95" s="7"/>
      <c r="E95" s="85"/>
      <c r="F95" s="7"/>
      <c r="G95" s="7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15.75" customHeight="1">
      <c r="B96" s="85"/>
      <c r="C96" s="7"/>
      <c r="D96" s="86"/>
      <c r="E96" s="85"/>
      <c r="F96" s="7"/>
      <c r="G96" s="7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15.75" customHeight="1">
      <c r="B97" s="85"/>
      <c r="C97" s="7"/>
      <c r="E97" s="85"/>
      <c r="F97" s="7"/>
      <c r="G97" s="7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15.75" customHeight="1">
      <c r="B98" s="85"/>
      <c r="C98" s="7"/>
      <c r="E98" s="85"/>
      <c r="F98" s="7"/>
      <c r="G98" s="7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15.75" customHeight="1">
      <c r="B99" s="85"/>
      <c r="C99" s="7"/>
      <c r="E99" s="85"/>
      <c r="F99" s="7"/>
      <c r="G99" s="7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15.75" customHeight="1">
      <c r="B100" s="85"/>
      <c r="C100" s="7"/>
      <c r="E100" s="85"/>
      <c r="F100" s="7"/>
      <c r="G100" s="7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5.75" customHeight="1">
      <c r="B101" s="85"/>
      <c r="C101" s="7"/>
      <c r="E101" s="85"/>
      <c r="F101" s="7"/>
      <c r="G101" s="7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5.75" customHeight="1">
      <c r="B102" s="85"/>
      <c r="E102" s="85"/>
      <c r="F102" s="7"/>
      <c r="G102" s="8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5.75" customHeight="1">
      <c r="B103" s="2"/>
      <c r="E103" s="85"/>
      <c r="F103" s="7"/>
      <c r="G103" s="8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5.75" customHeight="1">
      <c r="B104" s="85"/>
      <c r="E104" s="85"/>
      <c r="F104" s="7"/>
      <c r="G104" s="8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5.75" customHeight="1">
      <c r="B105" s="85"/>
      <c r="C105" s="85"/>
      <c r="D105" s="85"/>
      <c r="E105" s="7"/>
      <c r="F105" s="7"/>
      <c r="G105" s="7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5.75" customHeight="1">
      <c r="B106" s="85"/>
      <c r="C106" s="85"/>
      <c r="D106" s="85"/>
      <c r="E106" s="7"/>
      <c r="F106" s="7"/>
      <c r="G106" s="7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5.75" customHeight="1">
      <c r="B107" s="85"/>
      <c r="C107" s="85"/>
      <c r="D107" s="85"/>
      <c r="E107" s="7"/>
      <c r="F107" s="7"/>
      <c r="G107" s="7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5.75" customHeight="1">
      <c r="B108" s="85"/>
      <c r="C108" s="85"/>
      <c r="D108" s="85"/>
      <c r="E108" s="7"/>
      <c r="F108" s="7"/>
      <c r="G108" s="7"/>
      <c r="H108" s="5"/>
      <c r="I108" s="5"/>
      <c r="J108" s="5"/>
      <c r="K108" s="5"/>
      <c r="L108" s="5"/>
      <c r="M108" s="5"/>
      <c r="N108" s="5"/>
      <c r="O108" s="5"/>
      <c r="P108" s="5"/>
      <c r="Q108" s="5"/>
    </row>
  </sheetData>
  <sheetProtection/>
  <mergeCells count="1">
    <mergeCell ref="J33:K33"/>
  </mergeCells>
  <conditionalFormatting sqref="F29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{50b1552f-099b-459d-8a32-14b7ab242fe3}</x14:id>
        </ext>
      </extLst>
    </cfRule>
  </conditionalFormatting>
  <conditionalFormatting sqref="F32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{266cd1e5-794b-4e03-8673-61b344ad5267}</x14:id>
        </ext>
      </extLst>
    </cfRule>
  </conditionalFormatting>
  <conditionalFormatting sqref="F34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{6a3bdf81-75e4-443a-85b6-ee5348bc6908}</x14:id>
        </ext>
      </extLst>
    </cfRule>
  </conditionalFormatting>
  <conditionalFormatting sqref="F41:F65">
    <cfRule type="dataBar" priority="1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{01a8faca-135a-4170-be1f-d51346981c2c}</x14:id>
        </ext>
      </extLst>
    </cfRule>
  </conditionalFormatting>
  <conditionalFormatting sqref="F18:F20">
    <cfRule type="dataBar" priority="2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{17db728b-4d36-4658-897e-d99ed029c870}</x14:id>
        </ext>
      </extLst>
    </cfRule>
    <cfRule type="dataBar" priority="2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{ee249d06-a9e1-40a9-969a-71920e043bd9}</x14:id>
        </ext>
      </extLst>
    </cfRule>
  </conditionalFormatting>
  <conditionalFormatting sqref="F18:F20">
    <cfRule type="dataBar" priority="2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{259a4cd8-3ac7-4039-a558-4fd2ec694911}</x14:id>
        </ext>
      </extLst>
    </cfRule>
  </conditionalFormatting>
  <conditionalFormatting sqref="F18:F23">
    <cfRule type="dataBar" priority="3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{7c2f7078-5fa8-4006-a4a1-88be5d073a64}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b1552f-099b-459d-8a32-14b7ab242f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F29</xm:sqref>
        </x14:conditionalFormatting>
        <x14:conditionalFormatting xmlns:xm="http://schemas.microsoft.com/office/excel/2006/main">
          <x14:cfRule type="dataBar" id="{266cd1e5-794b-4e03-8673-61b344ad52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F32</xm:sqref>
        </x14:conditionalFormatting>
        <x14:conditionalFormatting xmlns:xm="http://schemas.microsoft.com/office/excel/2006/main">
          <x14:cfRule type="dataBar" id="{6a3bdf81-75e4-443a-85b6-ee5348bc69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</xm:sqref>
        </x14:conditionalFormatting>
        <x14:conditionalFormatting xmlns:xm="http://schemas.microsoft.com/office/excel/2006/main">
          <x14:cfRule type="dataBar" id="{01a8faca-135a-4170-be1f-d51346981c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F41:F65</xm:sqref>
        </x14:conditionalFormatting>
        <x14:conditionalFormatting xmlns:xm="http://schemas.microsoft.com/office/excel/2006/main">
          <x14:cfRule type="dataBar" id="{17db728b-4d36-4658-897e-d99ed029c8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e249d06-a9e1-40a9-969a-71920e043b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F18:F20</xm:sqref>
        </x14:conditionalFormatting>
        <x14:conditionalFormatting xmlns:xm="http://schemas.microsoft.com/office/excel/2006/main">
          <x14:cfRule type="dataBar" id="{259a4cd8-3ac7-4039-a558-4fd2ec6949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F18:F20</xm:sqref>
        </x14:conditionalFormatting>
        <x14:conditionalFormatting xmlns:xm="http://schemas.microsoft.com/office/excel/2006/main">
          <x14:cfRule type="dataBar" id="{7c2f7078-5fa8-4006-a4a1-88be5d073a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в Excel</dc:title>
  <dc:subject/>
  <dc:creator/>
  <cp:keywords/>
  <dc:description>Подготовлено на базе материалов ФСС «Система Финансовый директор»</dc:description>
  <cp:lastModifiedBy>martynova</cp:lastModifiedBy>
  <dcterms:created xsi:type="dcterms:W3CDTF">2015-06-29T05:33:59Z</dcterms:created>
  <dcterms:modified xsi:type="dcterms:W3CDTF">2015-09-15T08:16:27Z</dcterms:modified>
  <cp:category/>
  <cp:version/>
  <cp:contentType/>
  <cp:contentStatus/>
</cp:coreProperties>
</file>